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15" windowWidth="11325" windowHeight="6525" tabRatio="725" activeTab="0"/>
  </bookViews>
  <sheets>
    <sheet name="Decision Table" sheetId="1" r:id="rId1"/>
    <sheet name="Utility" sheetId="2" r:id="rId2"/>
    <sheet name="Weights" sheetId="3" r:id="rId3"/>
    <sheet name="Weight Chart" sheetId="4" r:id="rId4"/>
    <sheet name="Performance Chart" sheetId="5" r:id="rId5"/>
    <sheet name="Utable" sheetId="6" r:id="rId6"/>
    <sheet name="Performance" sheetId="7" r:id="rId7"/>
  </sheets>
  <definedNames>
    <definedName name="B_or_C">'Decision Table'!$D$11:$D$25</definedName>
    <definedName name="Best">'Utility'!$L$2:$L$16</definedName>
    <definedName name="Blue">'Weights'!$H$2:$H$16</definedName>
    <definedName name="cbest">'Utility'!$X$3</definedName>
    <definedName name="Contr_1">'Decision Table'!#REF!</definedName>
    <definedName name="Contr_10">'Decision Table'!#REF!</definedName>
    <definedName name="Contr_2">'Decision Table'!#REF!</definedName>
    <definedName name="Contr_3">'Decision Table'!#REF!</definedName>
    <definedName name="Contr_4">'Decision Table'!#REF!</definedName>
    <definedName name="Contr_5">'Decision Table'!#REF!</definedName>
    <definedName name="Contr_6">'Decision Table'!#REF!</definedName>
    <definedName name="Contr_7">'Decision Table'!#REF!</definedName>
    <definedName name="Contr_8">'Decision Table'!#REF!</definedName>
    <definedName name="Contr_9">'Decision Table'!#REF!</definedName>
    <definedName name="CRITERIA">'Decision Table'!$C$11:$C$25</definedName>
    <definedName name="CWorst">'Utility'!$N$3</definedName>
    <definedName name="kritnavn">'Weights'!$F$5</definedName>
    <definedName name="Linarity">'Utility'!$G$2:$G$16</definedName>
    <definedName name="Maximum">'Utility'!$N$6</definedName>
    <definedName name="middle">'Utility'!$S$3</definedName>
    <definedName name="Minimum">'Utility'!$N$5</definedName>
    <definedName name="monetaryindex">'Decision Table'!$B$28</definedName>
    <definedName name="No">'Utility'!$A$16</definedName>
    <definedName name="Option_1">'Decision Table'!$F$11:$F$25</definedName>
    <definedName name="Option_10">'Decision Table'!$O$11:$O$25</definedName>
    <definedName name="Option_2">'Decision Table'!$G$11:$G$25</definedName>
    <definedName name="Option_3">'Decision Table'!$H$11:$H$25</definedName>
    <definedName name="Option_4">'Decision Table'!$I$11:$I$25</definedName>
    <definedName name="Option_5">'Decision Table'!$J$11:$J$25</definedName>
    <definedName name="Option_6">'Decision Table'!$K$11:$K$25</definedName>
    <definedName name="Option_7">'Decision Table'!$L$11:$L$25</definedName>
    <definedName name="Option_8">'Decision Table'!$M$11:$M$25</definedName>
    <definedName name="Option_9">'Decision Table'!$N$11:$N$25</definedName>
    <definedName name="pa">'Utility'!$H$2:$H$16</definedName>
    <definedName name="pc">'Utility'!$I$2:$I$16</definedName>
    <definedName name="Red">'Weights'!$G$2:$G$16</definedName>
    <definedName name="Rel_Weight">'Weights'!$M$2:$M$16</definedName>
    <definedName name="selectname">'Utility'!$M$2</definedName>
    <definedName name="tradeoff">"Chart 19"</definedName>
    <definedName name="Utility_1">'Utable'!$E$11:$E$25</definedName>
    <definedName name="Utility_10">'Decision Table'!#REF!</definedName>
    <definedName name="Utility_2">'Decision Table'!#REF!</definedName>
    <definedName name="Utility_3">'Decision Table'!#REF!</definedName>
    <definedName name="Utility_4">'Decision Table'!#REF!</definedName>
    <definedName name="Utility_5">'Decision Table'!#REF!</definedName>
    <definedName name="Utility_6">'Decision Table'!#REF!</definedName>
    <definedName name="Utility_7">'Decision Table'!#REF!</definedName>
    <definedName name="Utility_8">'Decision Table'!#REF!</definedName>
    <definedName name="Utility_9">'Decision Table'!#REF!</definedName>
    <definedName name="Weight">'Decision Table'!$B$11:$B$25</definedName>
    <definedName name="Worst">'Utility'!$J$2:$J$16</definedName>
    <definedName name="WTP">'Decision Table'!$A$11:$A$25</definedName>
    <definedName name="xmax">'Weights'!$J$2</definedName>
    <definedName name="xmin">'Weights'!$I$2</definedName>
    <definedName name="y_akse">'Weights'!$G$5:$J$5</definedName>
    <definedName name="y_navn">'Weights'!$F$4</definedName>
    <definedName name="ycoord">'Weights'!$G$5:$H$5</definedName>
    <definedName name="ymax">'Weights'!$J$5</definedName>
    <definedName name="ymin">'Weights'!$I$5</definedName>
    <definedName name="Z_B93E3980_583C_11D1_A7D0_00A024ACCC1F_.wvu.Cols" localSheetId="0" hidden="1">'Decision Table'!#REF!,'Decision Table'!#REF!,'Decision Table'!#REF!,'Decision Table'!#REF!,'Decision Table'!#REF!,'Decision Table'!#REF!,'Decision Table'!#REF!,'Decision Table'!#REF!,'Decision Table'!#REF!</definedName>
  </definedNames>
  <calcPr fullCalcOnLoad="1"/>
</workbook>
</file>

<file path=xl/sharedStrings.xml><?xml version="1.0" encoding="utf-8"?>
<sst xmlns="http://schemas.openxmlformats.org/spreadsheetml/2006/main" count="95" uniqueCount="77">
  <si>
    <t>WTP</t>
  </si>
  <si>
    <t>Weight</t>
  </si>
  <si>
    <t>Option 8</t>
  </si>
  <si>
    <t>Option 9</t>
  </si>
  <si>
    <t>Option 10</t>
  </si>
  <si>
    <t>pa</t>
  </si>
  <si>
    <t>pc</t>
  </si>
  <si>
    <t>Worst</t>
  </si>
  <si>
    <t>Middle</t>
  </si>
  <si>
    <t>Best</t>
  </si>
  <si>
    <t>Criteria</t>
  </si>
  <si>
    <t>Yes</t>
  </si>
  <si>
    <t>Linearity</t>
  </si>
  <si>
    <t>Min</t>
  </si>
  <si>
    <t>Max</t>
  </si>
  <si>
    <t>Score</t>
  </si>
  <si>
    <t>Utility</t>
  </si>
  <si>
    <t>Minimum</t>
  </si>
  <si>
    <t>Maximum</t>
  </si>
  <si>
    <t>Red</t>
  </si>
  <si>
    <t>Blue</t>
  </si>
  <si>
    <t>Ured</t>
  </si>
  <si>
    <t>Ublue</t>
  </si>
  <si>
    <t>UTILITY TABLE</t>
  </si>
  <si>
    <t>Performance</t>
  </si>
  <si>
    <t>DECISION TABLE</t>
  </si>
  <si>
    <t>PERFORMANCE TABLE (Weight x utility)</t>
  </si>
  <si>
    <t xml:space="preserve">     Performance:</t>
  </si>
  <si>
    <t>3: Overwrite the labels "Option 1" etc. with the labels of your own decision options (at least 2, maximum 10). You may add later.</t>
  </si>
  <si>
    <t>5: Click the "Utility" sheet tab and follow further instructions, until you get back to this sheet.</t>
  </si>
  <si>
    <t>Point utilities</t>
  </si>
  <si>
    <t>risk seeker.</t>
  </si>
  <si>
    <t>utility function of that criterion as non-linear; concave if you are risk averse and covex if you are a</t>
  </si>
  <si>
    <t>Select the criterion with the radio button and specify a score which from a subjective point of view</t>
  </si>
  <si>
    <t>lies in the middle of the range. Observe the result graphically.</t>
  </si>
  <si>
    <t>If you are risk neutral with regard to all criteria, you need do nothing in this window.</t>
  </si>
  <si>
    <t>You may alter utility functions after the weighting. It will affect the weights.</t>
  </si>
  <si>
    <t>When finished, click the Weights window sheet tab below.</t>
  </si>
  <si>
    <t>If you have risk aversion (or the opposite) with regard to any of the criteria, you should specify the</t>
  </si>
  <si>
    <t>Criterion</t>
  </si>
  <si>
    <t xml:space="preserve">  s</t>
  </si>
  <si>
    <t xml:space="preserve">       Rel_Weight</t>
  </si>
  <si>
    <t>Single criterion utility functions</t>
  </si>
  <si>
    <t>Criteria weights through value trade-off</t>
  </si>
  <si>
    <t xml:space="preserve">1. Select </t>
  </si>
  <si>
    <t xml:space="preserve">2. Think of the spots as alternative outcomes of decisions. Judge whether you prefer the red or the blue one. </t>
  </si>
  <si>
    <t>by pressing the radio button. A blue and a red spot are placed at random in the chart.</t>
  </si>
  <si>
    <t xml:space="preserve">3. Move the spots until you are indifferent between them. You can move them with the mouse, but only vertically, </t>
  </si>
  <si>
    <t>4. Continue with the next criterion. (Actually, the order of the criteria is immaterial).</t>
  </si>
  <si>
    <t xml:space="preserve">    NOT horizontally, or by altering the red or blue numbers. Observe the resulting weight.</t>
  </si>
  <si>
    <t xml:space="preserve">It is conceivabe that the first criterion is so important that you have to exceed the frame. In that case, move the two </t>
  </si>
  <si>
    <t>parameter value for all tradeoffs.</t>
  </si>
  <si>
    <t xml:space="preserve">dots closer horisontally by changing the parameter s (top of table) to appr. 0.4.  You must however, use the same </t>
  </si>
  <si>
    <t>The Weight chart shows the resulting weights graphically.</t>
  </si>
  <si>
    <t>The performance of the options is now caculated. You can see the results in the Performance Chart.</t>
  </si>
  <si>
    <t>You can go back and alter any of the entrys you have made, including adding criteria or options. The changes</t>
  </si>
  <si>
    <t>wil carry through.</t>
  </si>
  <si>
    <t>Pro&amp;Con 98</t>
  </si>
  <si>
    <t>1: Check the first box to enter the name of your first decision criterion. Continue with as many criteria as you have got.You may add more criteria later.</t>
  </si>
  <si>
    <t>4: In the Decision Table,enter the scores of each decision option for each criterion. The scores must be numbers.</t>
  </si>
  <si>
    <t>6: The weights are elicited in the "Weights" sheet. They will show in this window. The performance of the options is shown at the bottom of the decision table.</t>
  </si>
  <si>
    <t>7: To compute willingness-to pay, push the radio button of the monetary criterion, or any criterion you want to use as currency.</t>
  </si>
  <si>
    <t>Monetary index</t>
  </si>
  <si>
    <t>Option 6</t>
  </si>
  <si>
    <t>Option 7</t>
  </si>
  <si>
    <t>The importance of each criterion is in turn compared against the importance of the first criterion</t>
  </si>
  <si>
    <t>2: A criterion is either a benefit (something you want more of), or a cost (a burden) which you want less of.</t>
  </si>
  <si>
    <t>© Fred Wenstøp 02.06.99</t>
  </si>
  <si>
    <t>Hand-ins</t>
  </si>
  <si>
    <t>b</t>
  </si>
  <si>
    <t>Presentation</t>
  </si>
  <si>
    <t>Participation</t>
  </si>
  <si>
    <t>Quiz</t>
  </si>
  <si>
    <t>Talker</t>
  </si>
  <si>
    <t>Showman</t>
  </si>
  <si>
    <t>Worker</t>
  </si>
  <si>
    <t>Scholar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</si>
</sst>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0"/>
    <numFmt numFmtId="173" formatCode="0;\-0;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.25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5"/>
      <name val="Arial"/>
      <family val="0"/>
    </font>
    <font>
      <sz val="14"/>
      <color indexed="17"/>
      <name val="Arial"/>
      <family val="2"/>
    </font>
    <font>
      <sz val="10"/>
      <color indexed="50"/>
      <name val="Arial"/>
      <family val="2"/>
    </font>
    <font>
      <b/>
      <i/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9.75"/>
      <name val="Arial"/>
      <family val="0"/>
    </font>
    <font>
      <sz val="10"/>
      <color indexed="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55"/>
      </left>
      <right style="thin">
        <color indexed="26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6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2" fontId="12" fillId="2" borderId="0" xfId="0" applyNumberFormat="1" applyFont="1" applyFill="1" applyBorder="1" applyAlignment="1">
      <alignment/>
    </xf>
    <xf numFmtId="2" fontId="12" fillId="2" borderId="2" xfId="0" applyNumberFormat="1" applyFont="1" applyFill="1" applyBorder="1" applyAlignment="1">
      <alignment/>
    </xf>
    <xf numFmtId="2" fontId="12" fillId="2" borderId="3" xfId="0" applyNumberFormat="1" applyFont="1" applyFill="1" applyBorder="1" applyAlignment="1">
      <alignment/>
    </xf>
    <xf numFmtId="2" fontId="12" fillId="2" borderId="4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16" fillId="0" borderId="0" xfId="0" applyNumberFormat="1" applyFont="1" applyAlignment="1">
      <alignment/>
    </xf>
    <xf numFmtId="20" fontId="16" fillId="0" borderId="0" xfId="0" applyNumberFormat="1" applyFont="1" applyAlignment="1">
      <alignment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 quotePrefix="1">
      <alignment/>
    </xf>
    <xf numFmtId="173" fontId="21" fillId="0" borderId="0" xfId="0" applyNumberFormat="1" applyFont="1" applyAlignment="1">
      <alignment/>
    </xf>
    <xf numFmtId="0" fontId="12" fillId="3" borderId="5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2" fontId="12" fillId="3" borderId="8" xfId="0" applyNumberFormat="1" applyFont="1" applyFill="1" applyBorder="1" applyAlignment="1">
      <alignment/>
    </xf>
    <xf numFmtId="2" fontId="12" fillId="3" borderId="9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12" fillId="3" borderId="1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4" fillId="0" borderId="0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13" fillId="5" borderId="0" xfId="0" applyNumberFormat="1" applyFont="1" applyFill="1" applyBorder="1" applyAlignment="1">
      <alignment horizontal="center"/>
    </xf>
    <xf numFmtId="9" fontId="13" fillId="5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/>
    </xf>
    <xf numFmtId="9" fontId="12" fillId="5" borderId="0" xfId="0" applyNumberFormat="1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3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5" borderId="11" xfId="0" applyFont="1" applyFill="1" applyBorder="1" applyAlignment="1">
      <alignment/>
    </xf>
    <xf numFmtId="173" fontId="12" fillId="5" borderId="0" xfId="0" applyNumberFormat="1" applyFont="1" applyFill="1" applyBorder="1" applyAlignment="1">
      <alignment/>
    </xf>
    <xf numFmtId="0" fontId="12" fillId="5" borderId="0" xfId="0" applyFont="1" applyFill="1" applyBorder="1" applyAlignment="1" quotePrefix="1">
      <alignment/>
    </xf>
    <xf numFmtId="0" fontId="12" fillId="5" borderId="12" xfId="0" applyFont="1" applyFill="1" applyBorder="1" applyAlignment="1">
      <alignment/>
    </xf>
    <xf numFmtId="0" fontId="12" fillId="5" borderId="12" xfId="0" applyFont="1" applyFill="1" applyBorder="1" applyAlignment="1" quotePrefix="1">
      <alignment/>
    </xf>
    <xf numFmtId="173" fontId="13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2" fontId="13" fillId="5" borderId="0" xfId="0" applyNumberFormat="1" applyFont="1" applyFill="1" applyBorder="1" applyAlignment="1">
      <alignment horizontal="center"/>
    </xf>
    <xf numFmtId="2" fontId="12" fillId="5" borderId="0" xfId="0" applyNumberFormat="1" applyFont="1" applyFill="1" applyBorder="1" applyAlignment="1">
      <alignment/>
    </xf>
    <xf numFmtId="0" fontId="0" fillId="5" borderId="0" xfId="0" applyFont="1" applyFill="1" applyBorder="1" applyAlignment="1" quotePrefix="1">
      <alignment/>
    </xf>
    <xf numFmtId="2" fontId="12" fillId="5" borderId="13" xfId="0" applyNumberFormat="1" applyFont="1" applyFill="1" applyBorder="1" applyAlignment="1">
      <alignment/>
    </xf>
    <xf numFmtId="2" fontId="12" fillId="5" borderId="14" xfId="0" applyNumberFormat="1" applyFont="1" applyFill="1" applyBorder="1" applyAlignment="1">
      <alignment/>
    </xf>
    <xf numFmtId="2" fontId="12" fillId="5" borderId="15" xfId="0" applyNumberFormat="1" applyFont="1" applyFill="1" applyBorder="1" applyAlignment="1">
      <alignment/>
    </xf>
    <xf numFmtId="173" fontId="0" fillId="6" borderId="0" xfId="0" applyNumberFormat="1" applyFill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0" fontId="12" fillId="5" borderId="16" xfId="0" applyFont="1" applyFill="1" applyBorder="1" applyAlignment="1" applyProtection="1">
      <alignment horizontal="right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3" fillId="5" borderId="18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 applyProtection="1">
      <alignment/>
      <protection locked="0"/>
    </xf>
    <xf numFmtId="0" fontId="12" fillId="5" borderId="0" xfId="0" applyFont="1" applyFill="1" applyBorder="1" applyAlignment="1" applyProtection="1">
      <alignment/>
      <protection locked="0"/>
    </xf>
    <xf numFmtId="0" fontId="12" fillId="5" borderId="19" xfId="0" applyFont="1" applyFill="1" applyBorder="1" applyAlignment="1" applyProtection="1">
      <alignment horizontal="right"/>
      <protection locked="0"/>
    </xf>
    <xf numFmtId="0" fontId="4" fillId="5" borderId="20" xfId="0" applyFont="1" applyFill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 horizontal="right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/>
      <protection locked="0"/>
    </xf>
    <xf numFmtId="0" fontId="12" fillId="5" borderId="21" xfId="0" applyFont="1" applyFill="1" applyBorder="1" applyAlignment="1" applyProtection="1">
      <alignment horizontal="center"/>
      <protection locked="0"/>
    </xf>
    <xf numFmtId="0" fontId="12" fillId="5" borderId="22" xfId="0" applyFont="1" applyFill="1" applyBorder="1" applyAlignment="1" applyProtection="1">
      <alignment horizontal="center"/>
      <protection locked="0"/>
    </xf>
    <xf numFmtId="0" fontId="12" fillId="5" borderId="23" xfId="0" applyFont="1" applyFill="1" applyBorder="1" applyAlignment="1" applyProtection="1">
      <alignment horizontal="center"/>
      <protection locked="0"/>
    </xf>
    <xf numFmtId="173" fontId="12" fillId="5" borderId="0" xfId="0" applyNumberFormat="1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 quotePrefix="1">
      <alignment/>
      <protection locked="0"/>
    </xf>
    <xf numFmtId="0" fontId="5" fillId="6" borderId="0" xfId="0" applyFont="1" applyFill="1" applyBorder="1" applyAlignment="1" applyProtection="1" quotePrefix="1">
      <alignment/>
      <protection locked="0"/>
    </xf>
    <xf numFmtId="173" fontId="0" fillId="6" borderId="0" xfId="0" applyNumberFormat="1" applyFill="1" applyAlignment="1" applyProtection="1">
      <alignment/>
      <protection locked="0"/>
    </xf>
    <xf numFmtId="2" fontId="12" fillId="5" borderId="0" xfId="0" applyNumberFormat="1" applyFont="1" applyFill="1" applyBorder="1" applyAlignment="1" applyProtection="1">
      <alignment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2" fillId="5" borderId="24" xfId="0" applyFont="1" applyFill="1" applyBorder="1" applyAlignment="1" applyProtection="1">
      <alignment/>
      <protection locked="0"/>
    </xf>
    <xf numFmtId="0" fontId="12" fillId="5" borderId="12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Utility!$M$2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11075"/>
          <c:w val="0.94375"/>
          <c:h val="0.85125"/>
        </c:manualLayout>
      </c:layout>
      <c:scatterChart>
        <c:scatterStyle val="smooth"/>
        <c:varyColors val="0"/>
        <c:ser>
          <c:idx val="0"/>
          <c:order val="0"/>
          <c:tx>
            <c:strRef>
              <c:f>Utility!$M$4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Utility!$N$3:$X$3</c:f>
              <c:numCache/>
            </c:numRef>
          </c:xVal>
          <c:yVal>
            <c:numRef>
              <c:f>Utility!$N$4:$X$4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3336971"/>
        <c:axId val="52923876"/>
      </c:scatterChart>
      <c:valAx>
        <c:axId val="13336971"/>
        <c:scaling>
          <c:orientation val="minMax"/>
          <c:max val="600"/>
          <c:min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3876"/>
        <c:crosses val="autoZero"/>
        <c:crossBetween val="midCat"/>
        <c:dispUnits/>
      </c:valAx>
      <c:valAx>
        <c:axId val="529238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36971"/>
        <c:crosses val="autoZero"/>
        <c:crossBetween val="midCat"/>
        <c:dispUnits/>
        <c:majorUnit val="0.25"/>
      </c:valAx>
      <c:spPr>
        <a:solidFill>
          <a:srgbClr val="CC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205"/>
          <c:w val="0.8847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Weights!$G$2:$J$2</c:f>
              <c:numCache>
                <c:ptCount val="2"/>
                <c:pt idx="0">
                  <c:v>2.7</c:v>
                </c:pt>
                <c:pt idx="1">
                  <c:v>3.3</c:v>
                </c:pt>
              </c:numCache>
            </c:numRef>
          </c:xVal>
          <c:yVal>
            <c:numRef>
              <c:f>[0]!y_akse</c:f>
              <c:numCache>
                <c:ptCount val="2"/>
                <c:pt idx="0">
                  <c:v>36.14</c:v>
                </c:pt>
                <c:pt idx="1">
                  <c:v>21.2</c:v>
                </c:pt>
              </c:numCache>
            </c:numRef>
          </c:yVal>
          <c:smooth val="0"/>
        </c:ser>
        <c:axId val="6552837"/>
        <c:axId val="58975534"/>
      </c:scatterChart>
      <c:valAx>
        <c:axId val="6552837"/>
        <c:scaling>
          <c:orientation val="minMax"/>
          <c:max val="4"/>
          <c:min val="2"/>
        </c:scaling>
        <c:axPos val="b"/>
        <c:title>
          <c:tx>
            <c:strRef>
              <c:f>Weights!$F$2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crossBetween val="midCat"/>
        <c:dispUnits/>
      </c:valAx>
      <c:valAx>
        <c:axId val="589755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'Decision Table'!$A$1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Weights!$F$2:$F$16</c:f>
              <c:strCache>
                <c:ptCount val="15"/>
                <c:pt idx="0">
                  <c:v>Hand-ins</c:v>
                </c:pt>
                <c:pt idx="1">
                  <c:v>Presentation</c:v>
                </c:pt>
                <c:pt idx="2">
                  <c:v>Participation</c:v>
                </c:pt>
                <c:pt idx="3">
                  <c:v>Quiz</c:v>
                </c:pt>
              </c:strCache>
            </c:strRef>
          </c:cat>
          <c:val>
            <c:numRef>
              <c:f>Weights!$M$2:$M$16</c:f>
              <c:numCache>
                <c:ptCount val="15"/>
                <c:pt idx="0">
                  <c:v>1</c:v>
                </c:pt>
                <c:pt idx="1">
                  <c:v>0.6676557863501487</c:v>
                </c:pt>
                <c:pt idx="2">
                  <c:v>0.6655290102389081</c:v>
                </c:pt>
                <c:pt idx="3">
                  <c:v>0.9942611190817789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'Decision Table'!$A$1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25"/>
          <c:y val="0.1945"/>
          <c:w val="0.94175"/>
          <c:h val="0.7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Performance!$D$11</c:f>
              <c:strCache>
                <c:ptCount val="1"/>
                <c:pt idx="0">
                  <c:v>Hand-ins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Performance!$E$11:$N$11</c:f>
              <c:numCache>
                <c:ptCount val="10"/>
                <c:pt idx="0">
                  <c:v>0.22447872947654712</c:v>
                </c:pt>
                <c:pt idx="1">
                  <c:v>0.1496524863176981</c:v>
                </c:pt>
                <c:pt idx="2">
                  <c:v>0.07482624315884905</c:v>
                </c:pt>
                <c:pt idx="3">
                  <c:v>0.2993049726353962</c:v>
                </c:pt>
                <c:pt idx="4">
                  <c:v>0</c:v>
                </c:pt>
                <c:pt idx="5">
                  <c:v>0.2993049726353962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Performance!$D$12</c:f>
              <c:strCache>
                <c:ptCount val="1"/>
                <c:pt idx="0">
                  <c:v>Presentation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Performance!$E$12:$N$12</c:f>
              <c:numCache>
                <c:ptCount val="10"/>
                <c:pt idx="0">
                  <c:v>0.0501628445757647</c:v>
                </c:pt>
                <c:pt idx="1">
                  <c:v>0.17055367155759998</c:v>
                </c:pt>
                <c:pt idx="2">
                  <c:v>0.2006513783030588</c:v>
                </c:pt>
                <c:pt idx="3">
                  <c:v>0.12039082698183529</c:v>
                </c:pt>
                <c:pt idx="4">
                  <c:v>0</c:v>
                </c:pt>
                <c:pt idx="5">
                  <c:v>0.2006513783030588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Performance!$D$13</c:f>
              <c:strCache>
                <c:ptCount val="1"/>
                <c:pt idx="0">
                  <c:v>Participation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Performance!$E$13:$N$13</c:f>
              <c:numCache>
                <c:ptCount val="10"/>
                <c:pt idx="0">
                  <c:v>0.08979149179061875</c:v>
                </c:pt>
                <c:pt idx="1">
                  <c:v>0.19953664842359725</c:v>
                </c:pt>
                <c:pt idx="2">
                  <c:v>0.1596293187388778</c:v>
                </c:pt>
                <c:pt idx="3">
                  <c:v>0.06983782694825906</c:v>
                </c:pt>
                <c:pt idx="4">
                  <c:v>0</c:v>
                </c:pt>
                <c:pt idx="5">
                  <c:v>0.19953664842359725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Performance!$D$14</c:f>
              <c:strCache>
                <c:ptCount val="1"/>
                <c:pt idx="0">
                  <c:v>Quiz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Performance!$E$14:$N$14</c:f>
              <c:numCache>
                <c:ptCount val="10"/>
                <c:pt idx="0">
                  <c:v>0.3005070006379478</c:v>
                </c:pt>
                <c:pt idx="1">
                  <c:v>0.09015210019138432</c:v>
                </c:pt>
                <c:pt idx="2">
                  <c:v>0.07813182016586642</c:v>
                </c:pt>
                <c:pt idx="3">
                  <c:v>0.02283853204848403</c:v>
                </c:pt>
                <c:pt idx="4">
                  <c:v>0</c:v>
                </c:pt>
                <c:pt idx="5">
                  <c:v>0.3005070006379478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Performance!$D$15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Performance!$D$16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Performance!$E$16:$N$16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Performance!$D$17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Performance!$E$17:$N$17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Performance!$D$18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Performance!$D$19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Performance!$D$20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Performance!$E$20:$N$20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Performance!$D$21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Performance!$E$21:$N$21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Performance!$D$22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Performance!$E$22:$N$22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Performance!$D$23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Performance!$D$24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Performance!$E$24:$N$24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Performance!$D$25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Performance!$E$10:$N$10</c:f>
              <c:strCache>
                <c:ptCount val="10"/>
                <c:pt idx="0">
                  <c:v>Scholar</c:v>
                </c:pt>
                <c:pt idx="1">
                  <c:v>Talker</c:v>
                </c:pt>
                <c:pt idx="2">
                  <c:v>Showman</c:v>
                </c:pt>
                <c:pt idx="3">
                  <c:v>Worker</c:v>
                </c:pt>
                <c:pt idx="4">
                  <c:v>Worst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</c:strCache>
            </c:strRef>
          </c:cat>
          <c:val>
            <c:numRef>
              <c:f>Performance!$E$25:$N$25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17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4575"/>
          <c:w val="0.12525"/>
          <c:h val="0.7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228600</xdr:colOff>
      <xdr:row>16</xdr:row>
      <xdr:rowOff>0</xdr:rowOff>
    </xdr:to>
    <xdr:graphicFrame>
      <xdr:nvGraphicFramePr>
        <xdr:cNvPr id="1" name="Chart 17"/>
        <xdr:cNvGraphicFramePr/>
      </xdr:nvGraphicFramePr>
      <xdr:xfrm>
        <a:off x="0" y="9525"/>
        <a:ext cx="2819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190500</xdr:colOff>
      <xdr:row>17</xdr:row>
      <xdr:rowOff>0</xdr:rowOff>
    </xdr:to>
    <xdr:graphicFrame>
      <xdr:nvGraphicFramePr>
        <xdr:cNvPr id="1" name="Chart 19"/>
        <xdr:cNvGraphicFramePr/>
      </xdr:nvGraphicFramePr>
      <xdr:xfrm>
        <a:off x="19050" y="19050"/>
        <a:ext cx="32956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showGridLines="0" showRowColHeaders="0" tabSelected="1" workbookViewId="0" topLeftCell="A1">
      <selection activeCell="I15" sqref="I15"/>
    </sheetView>
  </sheetViews>
  <sheetFormatPr defaultColWidth="9.140625" defaultRowHeight="12.75"/>
  <cols>
    <col min="1" max="1" width="6.28125" style="20" customWidth="1"/>
    <col min="2" max="2" width="9.140625" style="3" customWidth="1"/>
    <col min="3" max="3" width="10.7109375" style="10" customWidth="1"/>
    <col min="4" max="4" width="6.28125" style="18" customWidth="1"/>
    <col min="5" max="5" width="3.28125" style="18" customWidth="1"/>
  </cols>
  <sheetData>
    <row r="1" spans="1:6" ht="18">
      <c r="A1" s="19" t="s">
        <v>57</v>
      </c>
      <c r="F1" t="s">
        <v>67</v>
      </c>
    </row>
    <row r="2" ht="12.75">
      <c r="A2" s="22" t="s">
        <v>58</v>
      </c>
    </row>
    <row r="3" ht="12.75">
      <c r="A3" s="23" t="s">
        <v>66</v>
      </c>
    </row>
    <row r="4" ht="12.75">
      <c r="A4" s="22" t="s">
        <v>28</v>
      </c>
    </row>
    <row r="5" ht="12.75">
      <c r="A5" s="22" t="s">
        <v>59</v>
      </c>
    </row>
    <row r="6" ht="12.75">
      <c r="A6" s="22" t="s">
        <v>29</v>
      </c>
    </row>
    <row r="7" ht="12.75">
      <c r="A7" s="22" t="s">
        <v>60</v>
      </c>
    </row>
    <row r="8" ht="12.75">
      <c r="A8" s="22" t="s">
        <v>61</v>
      </c>
    </row>
    <row r="9" spans="3:6" s="3" customFormat="1" ht="12.75">
      <c r="C9" s="21"/>
      <c r="F9" s="5" t="s">
        <v>25</v>
      </c>
    </row>
    <row r="10" spans="1:15" s="4" customFormat="1" ht="12.75">
      <c r="A10" s="49" t="s">
        <v>0</v>
      </c>
      <c r="B10" s="50" t="s">
        <v>1</v>
      </c>
      <c r="C10" s="51" t="s">
        <v>10</v>
      </c>
      <c r="D10" s="52"/>
      <c r="E10" s="52"/>
      <c r="F10" s="96" t="s">
        <v>76</v>
      </c>
      <c r="G10" s="96" t="s">
        <v>73</v>
      </c>
      <c r="H10" s="96" t="s">
        <v>74</v>
      </c>
      <c r="I10" s="96" t="s">
        <v>75</v>
      </c>
      <c r="J10" s="96" t="s">
        <v>7</v>
      </c>
      <c r="K10" s="96" t="s">
        <v>63</v>
      </c>
      <c r="L10" s="96" t="s">
        <v>64</v>
      </c>
      <c r="M10" s="96" t="s">
        <v>2</v>
      </c>
      <c r="N10" s="96" t="s">
        <v>3</v>
      </c>
      <c r="O10" s="96" t="s">
        <v>4</v>
      </c>
    </row>
    <row r="11" spans="1:15" ht="12.75">
      <c r="A11" s="53">
        <f>IF(E11,(B11/INDEX(Weight,monetaryindex))*(INDEX(Worst,monetaryindex)-INDEX(Best,monetaryindex))/(Utility!J2-Utility!L2),"")</f>
        <v>1</v>
      </c>
      <c r="B11" s="54">
        <f>IF(E11,Weights!M2/SUM(Rel_Weight),"")</f>
        <v>0.2993049726353962</v>
      </c>
      <c r="C11" s="76" t="s">
        <v>68</v>
      </c>
      <c r="D11" s="77" t="s">
        <v>69</v>
      </c>
      <c r="E11" s="78" t="b">
        <v>1</v>
      </c>
      <c r="F11" s="79">
        <v>3.5</v>
      </c>
      <c r="G11" s="80">
        <v>3</v>
      </c>
      <c r="H11" s="79">
        <v>2.5</v>
      </c>
      <c r="I11" s="80">
        <v>4</v>
      </c>
      <c r="J11" s="79">
        <v>2</v>
      </c>
      <c r="K11" s="80">
        <v>4</v>
      </c>
      <c r="L11" s="79"/>
      <c r="M11" s="80"/>
      <c r="N11" s="79"/>
      <c r="O11" s="80"/>
    </row>
    <row r="12" spans="1:15" ht="12.75">
      <c r="A12" s="53">
        <f>IF(E12,(B12/INDEX(Weight,monetaryindex))*(INDEX(Worst,monetaryindex)-INDEX(Best,monetaryindex))/(Utility!J3-Utility!L3),"")</f>
        <v>0.6703910614525136</v>
      </c>
      <c r="B12" s="54">
        <f>IF(E12,Weights!M3/SUM(Rel_Weight),"")</f>
        <v>0.2006513783030588</v>
      </c>
      <c r="C12" s="81" t="s">
        <v>70</v>
      </c>
      <c r="D12" s="82" t="s">
        <v>69</v>
      </c>
      <c r="E12" s="83" t="b">
        <v>1</v>
      </c>
      <c r="F12" s="84">
        <v>2.5</v>
      </c>
      <c r="G12" s="80">
        <v>3.7</v>
      </c>
      <c r="H12" s="84">
        <v>4</v>
      </c>
      <c r="I12" s="80">
        <v>3.2</v>
      </c>
      <c r="J12" s="84">
        <v>2</v>
      </c>
      <c r="K12" s="80">
        <v>4</v>
      </c>
      <c r="L12" s="84"/>
      <c r="M12" s="80"/>
      <c r="N12" s="84"/>
      <c r="O12" s="80"/>
    </row>
    <row r="13" spans="1:15" ht="12.75">
      <c r="A13" s="53">
        <f>IF(E13,(B13/INDEX(Weight,monetaryindex))*(INDEX(Worst,monetaryindex)-INDEX(Best,monetaryindex))/(Utility!J4-Utility!L4),"")</f>
        <v>0.666666666666666</v>
      </c>
      <c r="B13" s="54">
        <f>IF(E13,Weights!M4/SUM(Rel_Weight),"")</f>
        <v>0.19953664842359725</v>
      </c>
      <c r="C13" s="81" t="s">
        <v>71</v>
      </c>
      <c r="D13" s="82" t="s">
        <v>69</v>
      </c>
      <c r="E13" s="83" t="b">
        <v>1</v>
      </c>
      <c r="F13" s="84">
        <v>2.9</v>
      </c>
      <c r="G13" s="80">
        <v>4</v>
      </c>
      <c r="H13" s="84">
        <v>3.6</v>
      </c>
      <c r="I13" s="80">
        <v>2.7</v>
      </c>
      <c r="J13" s="84">
        <v>2</v>
      </c>
      <c r="K13" s="80">
        <v>4</v>
      </c>
      <c r="L13" s="84"/>
      <c r="M13" s="80"/>
      <c r="N13" s="84"/>
      <c r="O13" s="80"/>
    </row>
    <row r="14" spans="1:15" ht="12.75">
      <c r="A14" s="53">
        <f>IF(E14,(B14/INDEX(Weight,monetaryindex))*(INDEX(Worst,monetaryindex)-INDEX(Best,monetaryindex))/(Utility!J5-Utility!L5),"")</f>
        <v>0.040160642570281097</v>
      </c>
      <c r="B14" s="54">
        <f>IF(E14,Weights!M5/SUM(Rel_Weight),"")</f>
        <v>0.3005070006379478</v>
      </c>
      <c r="C14" s="81" t="s">
        <v>72</v>
      </c>
      <c r="D14" s="82" t="s">
        <v>69</v>
      </c>
      <c r="E14" s="83" t="b">
        <v>1</v>
      </c>
      <c r="F14" s="84">
        <v>50</v>
      </c>
      <c r="G14" s="80">
        <v>15</v>
      </c>
      <c r="H14" s="84">
        <v>13</v>
      </c>
      <c r="I14" s="80">
        <v>30</v>
      </c>
      <c r="J14" s="84">
        <v>0</v>
      </c>
      <c r="K14" s="80">
        <v>50</v>
      </c>
      <c r="L14" s="84"/>
      <c r="M14" s="80"/>
      <c r="N14" s="84"/>
      <c r="O14" s="80"/>
    </row>
    <row r="15" spans="1:15" ht="12.75">
      <c r="A15" s="53">
        <f>IF(E15,(B15/INDEX(Weight,monetaryindex))*(INDEX(Worst,monetaryindex)-INDEX(Best,monetaryindex))/(Utility!J6-Utility!L6),"")</f>
      </c>
      <c r="B15" s="54">
        <f>IF(E15,Weights!M6/SUM(Rel_Weight),"")</f>
      </c>
      <c r="C15" s="81"/>
      <c r="D15" s="82"/>
      <c r="E15" s="83" t="b">
        <v>0</v>
      </c>
      <c r="F15" s="84"/>
      <c r="G15" s="80"/>
      <c r="H15" s="84"/>
      <c r="I15" s="80"/>
      <c r="J15" s="84"/>
      <c r="K15" s="80"/>
      <c r="L15" s="84"/>
      <c r="M15" s="80"/>
      <c r="N15" s="84"/>
      <c r="O15" s="80"/>
    </row>
    <row r="16" spans="1:15" ht="12.75">
      <c r="A16" s="53">
        <f>IF(E16,(B16/INDEX(Weight,monetaryindex))*(INDEX(Worst,monetaryindex)-INDEX(Best,monetaryindex))/(Utility!J7-Utility!L7),"")</f>
      </c>
      <c r="B16" s="54">
        <f>IF(E16,Weights!M7/SUM(Rel_Weight),"")</f>
      </c>
      <c r="C16" s="81"/>
      <c r="D16" s="82"/>
      <c r="E16" s="83" t="b">
        <v>0</v>
      </c>
      <c r="F16" s="84"/>
      <c r="G16" s="80"/>
      <c r="H16" s="84"/>
      <c r="I16" s="80"/>
      <c r="J16" s="84"/>
      <c r="K16" s="80"/>
      <c r="L16" s="84"/>
      <c r="M16" s="80"/>
      <c r="N16" s="84"/>
      <c r="O16" s="80"/>
    </row>
    <row r="17" spans="1:15" ht="12.75">
      <c r="A17" s="53">
        <f>IF(E17,(B17/INDEX(Weight,monetaryindex))*(INDEX(Worst,monetaryindex)-INDEX(Best,monetaryindex))/(Utility!J8-Utility!L8),"")</f>
      </c>
      <c r="B17" s="54">
        <f>IF(E17,Weights!M8/SUM(Rel_Weight),"")</f>
      </c>
      <c r="C17" s="81"/>
      <c r="D17" s="82"/>
      <c r="E17" s="83" t="b">
        <v>0</v>
      </c>
      <c r="F17" s="84"/>
      <c r="G17" s="80"/>
      <c r="H17" s="84"/>
      <c r="I17" s="80"/>
      <c r="J17" s="84"/>
      <c r="K17" s="80"/>
      <c r="L17" s="84"/>
      <c r="M17" s="80"/>
      <c r="N17" s="84"/>
      <c r="O17" s="80"/>
    </row>
    <row r="18" spans="1:15" ht="12.75">
      <c r="A18" s="53">
        <f>IF(E18,(B18/INDEX(Weight,monetaryindex))*(INDEX(Worst,monetaryindex)-INDEX(Best,monetaryindex))/(Utility!J9-Utility!L9),"")</f>
      </c>
      <c r="B18" s="54">
        <f>IF(E18,Weights!M9/SUM(Rel_Weight),"")</f>
      </c>
      <c r="C18" s="81"/>
      <c r="D18" s="82"/>
      <c r="E18" s="83" t="b">
        <v>0</v>
      </c>
      <c r="F18" s="84"/>
      <c r="G18" s="80"/>
      <c r="H18" s="84"/>
      <c r="I18" s="80"/>
      <c r="J18" s="84"/>
      <c r="K18" s="80"/>
      <c r="L18" s="84"/>
      <c r="M18" s="80"/>
      <c r="N18" s="84"/>
      <c r="O18" s="80"/>
    </row>
    <row r="19" spans="1:15" ht="12.75">
      <c r="A19" s="53">
        <f>IF(E19,(B19/INDEX(Weight,monetaryindex))*(INDEX(Worst,monetaryindex)-INDEX(Best,monetaryindex))/(Utility!J10-Utility!L10),"")</f>
      </c>
      <c r="B19" s="54">
        <f>IF(E19,Weights!M10/SUM(Rel_Weight),"")</f>
      </c>
      <c r="C19" s="81"/>
      <c r="D19" s="82"/>
      <c r="E19" s="83" t="b">
        <v>0</v>
      </c>
      <c r="F19" s="84"/>
      <c r="G19" s="80"/>
      <c r="H19" s="84"/>
      <c r="I19" s="80"/>
      <c r="J19" s="84"/>
      <c r="K19" s="80"/>
      <c r="L19" s="84"/>
      <c r="M19" s="80"/>
      <c r="N19" s="84"/>
      <c r="O19" s="80"/>
    </row>
    <row r="20" spans="1:15" ht="12.75">
      <c r="A20" s="53">
        <f>IF(E20,(B20/INDEX(Weight,monetaryindex))*(INDEX(Worst,monetaryindex)-INDEX(Best,monetaryindex))/(Utility!J11-Utility!L11),"")</f>
      </c>
      <c r="B20" s="54">
        <f>IF(E20,Weights!M11/SUM(Rel_Weight),"")</f>
      </c>
      <c r="C20" s="81"/>
      <c r="D20" s="82"/>
      <c r="E20" s="83"/>
      <c r="F20" s="84"/>
      <c r="G20" s="80"/>
      <c r="H20" s="84"/>
      <c r="I20" s="80"/>
      <c r="J20" s="84"/>
      <c r="K20" s="80"/>
      <c r="L20" s="84"/>
      <c r="M20" s="80"/>
      <c r="N20" s="84"/>
      <c r="O20" s="80"/>
    </row>
    <row r="21" spans="1:15" ht="12.75">
      <c r="A21" s="53">
        <f>IF(E21,(B21/INDEX(Weight,monetaryindex))*(INDEX(Worst,monetaryindex)-INDEX(Best,monetaryindex))/(Utility!J12-Utility!L12),"")</f>
      </c>
      <c r="B21" s="54">
        <f>IF(E21,Weights!M12/SUM(Rel_Weight),"")</f>
      </c>
      <c r="C21" s="81"/>
      <c r="D21" s="82"/>
      <c r="E21" s="83"/>
      <c r="F21" s="84"/>
      <c r="G21" s="80"/>
      <c r="H21" s="84"/>
      <c r="I21" s="80"/>
      <c r="J21" s="84"/>
      <c r="K21" s="80"/>
      <c r="L21" s="84"/>
      <c r="M21" s="80"/>
      <c r="N21" s="84"/>
      <c r="O21" s="80"/>
    </row>
    <row r="22" spans="1:15" ht="12.75">
      <c r="A22" s="53">
        <f>IF(E22,(B22/INDEX(Weight,monetaryindex))*(INDEX(Worst,monetaryindex)-INDEX(Best,monetaryindex))/(Utility!J13-Utility!L13),"")</f>
      </c>
      <c r="B22" s="54">
        <f>IF(E22,Weights!M13/SUM(Rel_Weight),"")</f>
      </c>
      <c r="C22" s="81"/>
      <c r="D22" s="82"/>
      <c r="E22" s="83"/>
      <c r="F22" s="84"/>
      <c r="G22" s="80"/>
      <c r="H22" s="84"/>
      <c r="I22" s="80"/>
      <c r="J22" s="84"/>
      <c r="K22" s="80"/>
      <c r="L22" s="84"/>
      <c r="M22" s="80"/>
      <c r="N22" s="84"/>
      <c r="O22" s="80"/>
    </row>
    <row r="23" spans="1:15" ht="12.75">
      <c r="A23" s="53">
        <f>IF(E23,(B23/INDEX(Weight,monetaryindex))*(INDEX(Worst,monetaryindex)-INDEX(Best,monetaryindex))/(Utility!J14-Utility!L14),"")</f>
      </c>
      <c r="B23" s="54">
        <f>IF(E23,Weights!M14/SUM(Rel_Weight),"")</f>
      </c>
      <c r="C23" s="81"/>
      <c r="D23" s="82"/>
      <c r="E23" s="83"/>
      <c r="F23" s="84"/>
      <c r="G23" s="80"/>
      <c r="H23" s="84"/>
      <c r="I23" s="80"/>
      <c r="J23" s="84"/>
      <c r="K23" s="80"/>
      <c r="L23" s="84"/>
      <c r="M23" s="80"/>
      <c r="N23" s="84"/>
      <c r="O23" s="80"/>
    </row>
    <row r="24" spans="1:15" ht="12.75">
      <c r="A24" s="53">
        <f>IF(E24,(B24/INDEX(Weight,monetaryindex))*(INDEX(Worst,monetaryindex)-INDEX(Best,monetaryindex))/(Utility!J15-Utility!L15),"")</f>
      </c>
      <c r="B24" s="54">
        <f>IF(E24,Weights!M15/SUM(Rel_Weight),"")</f>
      </c>
      <c r="C24" s="81"/>
      <c r="D24" s="82"/>
      <c r="E24" s="83"/>
      <c r="F24" s="84"/>
      <c r="G24" s="80"/>
      <c r="H24" s="84"/>
      <c r="I24" s="80"/>
      <c r="J24" s="84"/>
      <c r="K24" s="80"/>
      <c r="L24" s="84"/>
      <c r="M24" s="80"/>
      <c r="N24" s="84"/>
      <c r="O24" s="80"/>
    </row>
    <row r="25" spans="1:15" ht="12.75">
      <c r="A25" s="53">
        <f>IF(E25,(B25/INDEX(Weight,monetaryindex))*(INDEX(Worst,monetaryindex)-INDEX(Best,monetaryindex))/(Utility!J16-Utility!L16),"")</f>
      </c>
      <c r="B25" s="54">
        <f>IF(E25,Weights!M16/SUM(Rel_Weight),"")</f>
      </c>
      <c r="C25" s="85"/>
      <c r="D25" s="86"/>
      <c r="E25" s="83"/>
      <c r="F25" s="87"/>
      <c r="G25" s="80"/>
      <c r="H25" s="87"/>
      <c r="I25" s="80"/>
      <c r="J25" s="87"/>
      <c r="K25" s="80"/>
      <c r="L25" s="87"/>
      <c r="M25" s="80"/>
      <c r="N25" s="87"/>
      <c r="O25" s="80"/>
    </row>
    <row r="26" spans="1:15" ht="12.75">
      <c r="A26" s="53"/>
      <c r="B26" s="54"/>
      <c r="C26" s="56" t="s">
        <v>27</v>
      </c>
      <c r="D26" s="57"/>
      <c r="E26" s="57"/>
      <c r="F26" s="54">
        <f>Performance!E26</f>
        <v>0.6649400664808783</v>
      </c>
      <c r="G26" s="54">
        <f>Performance!F26</f>
        <v>0.6098949064902797</v>
      </c>
      <c r="H26" s="54">
        <f>Performance!G26</f>
        <v>0.5132387603666521</v>
      </c>
      <c r="I26" s="54">
        <f>Performance!H26</f>
        <v>0.6698378269482592</v>
      </c>
      <c r="J26" s="54">
        <f>Performance!I26</f>
        <v>0</v>
      </c>
      <c r="K26" s="54">
        <f>Performance!J26</f>
        <v>1</v>
      </c>
      <c r="L26" s="54">
        <f>Performance!K26</f>
        <v>0</v>
      </c>
      <c r="M26" s="54">
        <f>Performance!L26</f>
        <v>0</v>
      </c>
      <c r="N26" s="54">
        <f>Performance!M26</f>
        <v>0</v>
      </c>
      <c r="O26" s="54">
        <f>Performance!N26</f>
        <v>0</v>
      </c>
    </row>
    <row r="27" spans="1:3" ht="12.75">
      <c r="A27" s="46" t="s">
        <v>62</v>
      </c>
      <c r="B27" s="47"/>
      <c r="C27" s="48"/>
    </row>
    <row r="28" ht="12.75">
      <c r="B28" s="100">
        <v>1</v>
      </c>
    </row>
  </sheetData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5"/>
  <sheetViews>
    <sheetView showGridLines="0" showRowColHeaders="0" workbookViewId="0" topLeftCell="A1">
      <selection activeCell="A17" sqref="A17"/>
    </sheetView>
  </sheetViews>
  <sheetFormatPr defaultColWidth="9.140625" defaultRowHeight="12.75"/>
  <cols>
    <col min="1" max="1" width="11.421875" style="0" customWidth="1"/>
    <col min="6" max="6" width="7.7109375" style="0" customWidth="1"/>
    <col min="7" max="7" width="9.00390625" style="0" customWidth="1"/>
    <col min="8" max="9" width="4.57421875" style="0" hidden="1" customWidth="1"/>
    <col min="10" max="12" width="7.7109375" style="0" customWidth="1"/>
    <col min="13" max="13" width="12.8515625" style="0" bestFit="1" customWidth="1"/>
    <col min="14" max="14" width="4.57421875" style="0" customWidth="1"/>
    <col min="15" max="15" width="5.00390625" style="0" customWidth="1"/>
    <col min="16" max="16" width="4.57421875" style="0" customWidth="1"/>
    <col min="17" max="17" width="5.00390625" style="0" customWidth="1"/>
    <col min="18" max="18" width="4.574218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4.57421875" style="0" customWidth="1"/>
    <col min="23" max="23" width="5.00390625" style="0" customWidth="1"/>
    <col min="24" max="24" width="4.57421875" style="0" customWidth="1"/>
  </cols>
  <sheetData>
    <row r="1" spans="5:25" ht="12.75">
      <c r="E1" s="58"/>
      <c r="F1" s="59"/>
      <c r="G1" s="59" t="s">
        <v>12</v>
      </c>
      <c r="H1" s="59" t="s">
        <v>5</v>
      </c>
      <c r="I1" s="59" t="s">
        <v>6</v>
      </c>
      <c r="J1" s="59" t="s">
        <v>7</v>
      </c>
      <c r="K1" s="59" t="s">
        <v>8</v>
      </c>
      <c r="L1" s="59" t="s">
        <v>9</v>
      </c>
      <c r="M1" s="24" t="s">
        <v>30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38"/>
    </row>
    <row r="2" spans="5:25" ht="12.75">
      <c r="E2" s="60"/>
      <c r="F2" s="61" t="str">
        <f>'Decision Table'!C11</f>
        <v>Hand-ins</v>
      </c>
      <c r="G2" s="88" t="s">
        <v>11</v>
      </c>
      <c r="H2" s="97"/>
      <c r="I2" s="97"/>
      <c r="J2" s="62">
        <f>IF('Decision Table'!D11="b",MIN('Decision Table'!F11:'Decision Table'!O11),IF('Decision Table'!D11="c",MAX('Decision Table'!F11:'Decision Table'!O11),""))</f>
        <v>2</v>
      </c>
      <c r="K2" s="55">
        <f aca="true" t="shared" si="0" ref="K2:K16">IF(ISTEXT(J2),"",(J2+L2)/2)</f>
        <v>3</v>
      </c>
      <c r="L2" s="62">
        <f>IF('Decision Table'!D11="c",MIN('Decision Table'!F11:'Decision Table'!O11),IF('Decision Table'!D11="b",MAX('Decision Table'!F11:'Decision Table'!O11),""))</f>
        <v>4</v>
      </c>
      <c r="M2" s="28" t="str">
        <f>INDEX(CRITERIA,No)</f>
        <v>Hand-ins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38"/>
    </row>
    <row r="3" spans="5:25" ht="12.75">
      <c r="E3" s="60"/>
      <c r="F3" s="61" t="str">
        <f>'Decision Table'!C12</f>
        <v>Presentation</v>
      </c>
      <c r="G3" s="89" t="s">
        <v>11</v>
      </c>
      <c r="H3" s="80"/>
      <c r="I3" s="80"/>
      <c r="J3" s="62">
        <f>IF('Decision Table'!D12="b",MIN('Decision Table'!F12:'Decision Table'!O12),IF('Decision Table'!D12="c",MAX('Decision Table'!F12:'Decision Table'!O12),""))</f>
        <v>2</v>
      </c>
      <c r="K3" s="55">
        <f t="shared" si="0"/>
        <v>3</v>
      </c>
      <c r="L3" s="62">
        <f>IF('Decision Table'!D12="c",MIN('Decision Table'!F12:'Decision Table'!O12),IF('Decision Table'!D12="b",MAX('Decision Table'!F12:'Decision Table'!O12),""))</f>
        <v>4</v>
      </c>
      <c r="M3" s="26" t="s">
        <v>15</v>
      </c>
      <c r="N3" s="33">
        <f>INDEX(Worst,No)</f>
        <v>2</v>
      </c>
      <c r="O3" s="34">
        <f>$N$3+($X$3-$N$3)/10</f>
        <v>2.2</v>
      </c>
      <c r="P3" s="34">
        <f>$N$3+2*($X$3-$N$3)/10</f>
        <v>2.4</v>
      </c>
      <c r="Q3" s="34">
        <f>$N$3+3*($X$3-$N$3)/10</f>
        <v>2.6</v>
      </c>
      <c r="R3" s="34">
        <f>$N$3+4*($X$3-$N$3)/10</f>
        <v>2.8</v>
      </c>
      <c r="S3" s="34">
        <f>$N$3+5*($X$3-$N$3)/10</f>
        <v>3</v>
      </c>
      <c r="T3" s="34">
        <f>$N$3+6*($X$3-$N$3)/10</f>
        <v>3.2</v>
      </c>
      <c r="U3" s="34">
        <f>$N$3+7*($X$3-$N$3)/10</f>
        <v>3.4</v>
      </c>
      <c r="V3" s="34">
        <f>$N$3+8*($X$3-$N$3)/10</f>
        <v>3.6</v>
      </c>
      <c r="W3" s="34">
        <f>$N$3+9*($X$3-$N$3)/10</f>
        <v>3.8</v>
      </c>
      <c r="X3" s="35">
        <f>INDEX(Best,No)</f>
        <v>4</v>
      </c>
      <c r="Y3" s="38"/>
    </row>
    <row r="4" spans="5:25" ht="12.75">
      <c r="E4" s="60"/>
      <c r="F4" s="61" t="str">
        <f>'Decision Table'!C13</f>
        <v>Participation</v>
      </c>
      <c r="G4" s="89" t="s">
        <v>11</v>
      </c>
      <c r="H4" s="80"/>
      <c r="I4" s="80"/>
      <c r="J4" s="62">
        <f>IF('Decision Table'!D13="b",MIN('Decision Table'!F13:'Decision Table'!O13),IF('Decision Table'!D13="c",MAX('Decision Table'!F13:'Decision Table'!O13),""))</f>
        <v>2</v>
      </c>
      <c r="K4" s="55">
        <f t="shared" si="0"/>
        <v>3</v>
      </c>
      <c r="L4" s="62">
        <f>IF('Decision Table'!D13="c",MIN('Decision Table'!F13:'Decision Table'!O13),IF('Decision Table'!D13="b",MAX('Decision Table'!F13:'Decision Table'!O13),""))</f>
        <v>4</v>
      </c>
      <c r="M4" s="27" t="s">
        <v>16</v>
      </c>
      <c r="N4" s="37">
        <v>0</v>
      </c>
      <c r="O4" s="36">
        <v>0.10000000000000009</v>
      </c>
      <c r="P4" s="36">
        <v>0.19999999999999996</v>
      </c>
      <c r="Q4" s="36">
        <v>0.30000000000000004</v>
      </c>
      <c r="R4" s="36">
        <v>0.3999999999999999</v>
      </c>
      <c r="S4" s="36">
        <v>0.5</v>
      </c>
      <c r="T4" s="36">
        <v>0.6000000000000001</v>
      </c>
      <c r="U4" s="36">
        <v>0.7</v>
      </c>
      <c r="V4" s="36">
        <v>0.8</v>
      </c>
      <c r="W4" s="36">
        <v>0.8999999999999999</v>
      </c>
      <c r="X4" s="39">
        <v>1</v>
      </c>
      <c r="Y4" s="38"/>
    </row>
    <row r="5" spans="5:25" ht="12.75">
      <c r="E5" s="60"/>
      <c r="F5" s="61" t="str">
        <f>'Decision Table'!C14</f>
        <v>Quiz</v>
      </c>
      <c r="G5" s="89" t="s">
        <v>11</v>
      </c>
      <c r="H5" s="80"/>
      <c r="I5" s="80"/>
      <c r="J5" s="62">
        <f>IF('Decision Table'!D14="b",MIN('Decision Table'!F14:'Decision Table'!O14),IF('Decision Table'!D14="c",MAX('Decision Table'!F14:'Decision Table'!O14),""))</f>
        <v>0</v>
      </c>
      <c r="K5" s="55">
        <f t="shared" si="0"/>
        <v>25</v>
      </c>
      <c r="L5" s="62">
        <f>IF('Decision Table'!D14="c",MIN('Decision Table'!F14:'Decision Table'!O14),IF('Decision Table'!D14="b",MAX('Decision Table'!F14:'Decision Table'!O14),""))</f>
        <v>50</v>
      </c>
      <c r="M5" s="24" t="s">
        <v>17</v>
      </c>
      <c r="N5" s="25">
        <f>MIN(N3,X3)</f>
        <v>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38"/>
    </row>
    <row r="6" spans="5:25" ht="12.75">
      <c r="E6" s="60"/>
      <c r="F6" s="61">
        <f>'Decision Table'!C15</f>
        <v>0</v>
      </c>
      <c r="G6" s="89" t="s">
        <v>11</v>
      </c>
      <c r="H6" s="80"/>
      <c r="I6" s="80"/>
      <c r="J6" s="62">
        <f>IF('Decision Table'!D15="b",MIN('Decision Table'!F15:'Decision Table'!O15),IF('Decision Table'!D15="c",MAX('Decision Table'!F15:'Decision Table'!O15),""))</f>
      </c>
      <c r="K6" s="55">
        <f t="shared" si="0"/>
      </c>
      <c r="L6" s="62">
        <f>IF('Decision Table'!D15="c",MIN('Decision Table'!F15:'Decision Table'!O15),IF('Decision Table'!D15="b",MAX('Decision Table'!F15:'Decision Table'!O15),""))</f>
      </c>
      <c r="M6" s="24" t="s">
        <v>18</v>
      </c>
      <c r="N6" s="25">
        <f>MAX(N3,X3)</f>
        <v>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38"/>
    </row>
    <row r="7" spans="5:12" ht="12.75">
      <c r="E7" s="60"/>
      <c r="F7" s="61">
        <f>'Decision Table'!C16</f>
        <v>0</v>
      </c>
      <c r="G7" s="89" t="s">
        <v>11</v>
      </c>
      <c r="H7" s="80"/>
      <c r="I7" s="80"/>
      <c r="J7" s="62">
        <f>IF('Decision Table'!D16="b",MIN('Decision Table'!F16:'Decision Table'!O16),IF('Decision Table'!D16="c",MAX('Decision Table'!F16:'Decision Table'!O16),""))</f>
      </c>
      <c r="K7" s="55">
        <f t="shared" si="0"/>
      </c>
      <c r="L7" s="62">
        <f>IF('Decision Table'!D16="c",MIN('Decision Table'!F16:'Decision Table'!O16),IF('Decision Table'!D16="b",MAX('Decision Table'!F16:'Decision Table'!O16),""))</f>
      </c>
    </row>
    <row r="8" spans="5:12" ht="12.75">
      <c r="E8" s="60"/>
      <c r="F8" s="61">
        <f>'Decision Table'!C17</f>
        <v>0</v>
      </c>
      <c r="G8" s="89" t="s">
        <v>11</v>
      </c>
      <c r="H8" s="80"/>
      <c r="I8" s="80"/>
      <c r="J8" s="62">
        <f>IF('Decision Table'!D17="b",MIN('Decision Table'!F17:'Decision Table'!O17),IF('Decision Table'!D17="c",MAX('Decision Table'!F17:'Decision Table'!O17),""))</f>
      </c>
      <c r="K8" s="55">
        <f t="shared" si="0"/>
      </c>
      <c r="L8" s="62">
        <f>IF('Decision Table'!D17="c",MIN('Decision Table'!F17:'Decision Table'!O17),IF('Decision Table'!D17="b",MAX('Decision Table'!F17:'Decision Table'!O17),""))</f>
      </c>
    </row>
    <row r="9" spans="5:12" ht="12.75">
      <c r="E9" s="60"/>
      <c r="F9" s="61">
        <f>'Decision Table'!C18</f>
        <v>0</v>
      </c>
      <c r="G9" s="89" t="s">
        <v>11</v>
      </c>
      <c r="H9" s="80"/>
      <c r="I9" s="80"/>
      <c r="J9" s="62">
        <f>IF('Decision Table'!D18="b",MIN('Decision Table'!F18:'Decision Table'!O18),IF('Decision Table'!D18="c",MAX('Decision Table'!F18:'Decision Table'!O18),""))</f>
      </c>
      <c r="K9" s="55">
        <f t="shared" si="0"/>
      </c>
      <c r="L9" s="62">
        <f>IF('Decision Table'!D18="c",MIN('Decision Table'!F18:'Decision Table'!O18),IF('Decision Table'!D18="b",MAX('Decision Table'!F18:'Decision Table'!O18),""))</f>
      </c>
    </row>
    <row r="10" spans="5:12" ht="12.75">
      <c r="E10" s="60"/>
      <c r="F10" s="61">
        <f>'Decision Table'!C19</f>
        <v>0</v>
      </c>
      <c r="G10" s="89" t="s">
        <v>11</v>
      </c>
      <c r="H10" s="80"/>
      <c r="I10" s="80"/>
      <c r="J10" s="62">
        <f>IF('Decision Table'!D19="b",MIN('Decision Table'!F19:'Decision Table'!O19),IF('Decision Table'!D19="c",MAX('Decision Table'!F19:'Decision Table'!O19),""))</f>
      </c>
      <c r="K10" s="55">
        <f t="shared" si="0"/>
      </c>
      <c r="L10" s="62">
        <f>IF('Decision Table'!D19="c",MIN('Decision Table'!F19:'Decision Table'!O19),IF('Decision Table'!D19="b",MAX('Decision Table'!F19:'Decision Table'!O19),""))</f>
      </c>
    </row>
    <row r="11" spans="5:12" ht="12.75">
      <c r="E11" s="60"/>
      <c r="F11" s="61">
        <f>'Decision Table'!C20</f>
        <v>0</v>
      </c>
      <c r="G11" s="89" t="s">
        <v>11</v>
      </c>
      <c r="H11" s="80"/>
      <c r="I11" s="80"/>
      <c r="J11" s="62">
        <f>IF('Decision Table'!D20="b",MIN('Decision Table'!F20:'Decision Table'!O20),IF('Decision Table'!D20="c",MAX('Decision Table'!F20:'Decision Table'!O20),""))</f>
      </c>
      <c r="K11" s="55">
        <f t="shared" si="0"/>
      </c>
      <c r="L11" s="62">
        <f>IF('Decision Table'!D20="c",MIN('Decision Table'!F20:'Decision Table'!O20),IF('Decision Table'!D20="b",MAX('Decision Table'!F20:'Decision Table'!O20),""))</f>
      </c>
    </row>
    <row r="12" spans="5:12" ht="12.75">
      <c r="E12" s="60"/>
      <c r="F12" s="61">
        <f>'Decision Table'!C21</f>
        <v>0</v>
      </c>
      <c r="G12" s="89" t="s">
        <v>11</v>
      </c>
      <c r="H12" s="80"/>
      <c r="I12" s="80"/>
      <c r="J12" s="62">
        <f>IF('Decision Table'!D21="b",MIN('Decision Table'!F21:'Decision Table'!O21),IF('Decision Table'!D21="c",MAX('Decision Table'!F21:'Decision Table'!O21),""))</f>
      </c>
      <c r="K12" s="55">
        <f t="shared" si="0"/>
      </c>
      <c r="L12" s="62">
        <f>IF('Decision Table'!D21="c",MIN('Decision Table'!F21:'Decision Table'!O21),IF('Decision Table'!D21="b",MAX('Decision Table'!F21:'Decision Table'!O21),""))</f>
      </c>
    </row>
    <row r="13" spans="5:12" ht="12.75">
      <c r="E13" s="60"/>
      <c r="F13" s="61">
        <f>'Decision Table'!C22</f>
        <v>0</v>
      </c>
      <c r="G13" s="89" t="s">
        <v>11</v>
      </c>
      <c r="H13" s="80"/>
      <c r="I13" s="80"/>
      <c r="J13" s="62">
        <f>IF('Decision Table'!D22="b",MIN('Decision Table'!F22:'Decision Table'!O22),IF('Decision Table'!D22="c",MAX('Decision Table'!F22:'Decision Table'!O22),""))</f>
      </c>
      <c r="K13" s="55">
        <f t="shared" si="0"/>
      </c>
      <c r="L13" s="62">
        <f>IF('Decision Table'!D22="c",MIN('Decision Table'!F22:'Decision Table'!O22),IF('Decision Table'!D22="b",MAX('Decision Table'!F22:'Decision Table'!O22),""))</f>
      </c>
    </row>
    <row r="14" spans="5:12" ht="12.75">
      <c r="E14" s="60"/>
      <c r="F14" s="61">
        <f>'Decision Table'!C23</f>
        <v>0</v>
      </c>
      <c r="G14" s="89" t="s">
        <v>11</v>
      </c>
      <c r="H14" s="80"/>
      <c r="I14" s="80"/>
      <c r="J14" s="62">
        <f>IF('Decision Table'!D23="b",MIN('Decision Table'!F23:'Decision Table'!O23),IF('Decision Table'!D23="c",MAX('Decision Table'!F23:'Decision Table'!O23),""))</f>
      </c>
      <c r="K14" s="55">
        <f t="shared" si="0"/>
      </c>
      <c r="L14" s="62">
        <f>IF('Decision Table'!D23="c",MIN('Decision Table'!F23:'Decision Table'!O23),IF('Decision Table'!D23="b",MAX('Decision Table'!F23:'Decision Table'!O23),""))</f>
      </c>
    </row>
    <row r="15" spans="5:12" ht="12.75">
      <c r="E15" s="60"/>
      <c r="F15" s="61">
        <f>'Decision Table'!C24</f>
        <v>0</v>
      </c>
      <c r="G15" s="89" t="s">
        <v>11</v>
      </c>
      <c r="H15" s="80"/>
      <c r="I15" s="80"/>
      <c r="J15" s="62">
        <f>IF('Decision Table'!D24="b",MIN('Decision Table'!F24:'Decision Table'!O24),IF('Decision Table'!D24="c",MAX('Decision Table'!F24:'Decision Table'!O24),""))</f>
      </c>
      <c r="K15" s="55">
        <f t="shared" si="0"/>
      </c>
      <c r="L15" s="62">
        <f>IF('Decision Table'!D24="c",MIN('Decision Table'!F24:'Decision Table'!O24),IF('Decision Table'!D24="b",MAX('Decision Table'!F24:'Decision Table'!O24),""))</f>
      </c>
    </row>
    <row r="16" spans="1:12" ht="12.75">
      <c r="A16" s="99">
        <v>1</v>
      </c>
      <c r="B16" s="2"/>
      <c r="C16" s="2"/>
      <c r="D16" s="2"/>
      <c r="E16" s="60"/>
      <c r="F16" s="61">
        <f>'Decision Table'!C25</f>
        <v>0</v>
      </c>
      <c r="G16" s="90" t="s">
        <v>11</v>
      </c>
      <c r="H16" s="98"/>
      <c r="I16" s="98"/>
      <c r="J16" s="64">
        <f>IF('Decision Table'!D25="b",MIN('Decision Table'!F25:'Decision Table'!O25),IF('Decision Table'!D25="c",MAX('Decision Table'!F25:'Decision Table'!O25),""))</f>
      </c>
      <c r="K16" s="63">
        <f t="shared" si="0"/>
      </c>
      <c r="L16" s="64">
        <f>IF('Decision Table'!D25="c",MIN('Decision Table'!F25:'Decision Table'!O25),IF('Decision Table'!D25="b",MAX('Decision Table'!F25:'Decision Table'!O25),""))</f>
      </c>
    </row>
    <row r="17" ht="12.75">
      <c r="A17" s="4" t="s">
        <v>42</v>
      </c>
    </row>
    <row r="18" ht="12.75">
      <c r="A18" s="29" t="s">
        <v>38</v>
      </c>
    </row>
    <row r="19" s="7" customFormat="1" ht="12.75">
      <c r="A19" s="30" t="s">
        <v>32</v>
      </c>
    </row>
    <row r="20" ht="12.75">
      <c r="A20" s="29" t="s">
        <v>31</v>
      </c>
    </row>
    <row r="21" ht="12.75">
      <c r="A21" s="29" t="s">
        <v>33</v>
      </c>
    </row>
    <row r="22" ht="12.75">
      <c r="A22" s="29" t="s">
        <v>34</v>
      </c>
    </row>
    <row r="23" ht="12.75">
      <c r="A23" s="29" t="s">
        <v>35</v>
      </c>
    </row>
    <row r="24" ht="12.75">
      <c r="A24" s="29" t="s">
        <v>36</v>
      </c>
    </row>
    <row r="25" ht="12.75">
      <c r="A25" s="29" t="s">
        <v>37</v>
      </c>
    </row>
  </sheetData>
  <sheetProtection sheet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1"/>
  <sheetViews>
    <sheetView showGridLines="0" showRowColHeaders="0" workbookViewId="0" topLeftCell="A1">
      <selection activeCell="G5" sqref="G5:H5"/>
    </sheetView>
  </sheetViews>
  <sheetFormatPr defaultColWidth="9.140625" defaultRowHeight="12.75"/>
  <cols>
    <col min="1" max="4" width="11.7109375" style="0" customWidth="1"/>
    <col min="5" max="5" width="9.140625" style="6" customWidth="1"/>
    <col min="6" max="6" width="8.7109375" style="0" customWidth="1"/>
    <col min="7" max="7" width="6.7109375" style="8" customWidth="1"/>
    <col min="8" max="8" width="6.7109375" style="9" customWidth="1"/>
    <col min="9" max="12" width="6.7109375" style="0" hidden="1" customWidth="1"/>
    <col min="13" max="13" width="6.7109375" style="7" customWidth="1"/>
  </cols>
  <sheetData>
    <row r="1" spans="5:14" ht="12.75">
      <c r="E1" s="65" t="s">
        <v>40</v>
      </c>
      <c r="F1" s="59" t="s">
        <v>39</v>
      </c>
      <c r="G1" s="52" t="s">
        <v>19</v>
      </c>
      <c r="H1" s="66" t="s">
        <v>20</v>
      </c>
      <c r="I1" s="59" t="s">
        <v>13</v>
      </c>
      <c r="J1" s="59" t="s">
        <v>14</v>
      </c>
      <c r="K1" s="59" t="s">
        <v>21</v>
      </c>
      <c r="L1" s="59" t="s">
        <v>22</v>
      </c>
      <c r="M1" s="67" t="s">
        <v>41</v>
      </c>
      <c r="N1" s="59"/>
    </row>
    <row r="2" spans="5:14" ht="13.5" customHeight="1">
      <c r="E2" s="95">
        <v>0.35</v>
      </c>
      <c r="F2" s="61" t="str">
        <f>'Decision Table'!C11</f>
        <v>Hand-ins</v>
      </c>
      <c r="G2" s="69">
        <f>Utility!$J$2+$E$2*(Utility!$L$2-Utility!$J$2)</f>
        <v>2.7</v>
      </c>
      <c r="H2" s="69">
        <f>Utility!$J$2+(1-$E$2)*(Utility!$L$2-Utility!$J$2)</f>
        <v>3.3</v>
      </c>
      <c r="I2" s="62">
        <f>MIN(Utility!$J2,Utility!$L2)</f>
        <v>2</v>
      </c>
      <c r="J2" s="62">
        <f>MAX(Utility!$J2,Utility!$L2)</f>
        <v>4</v>
      </c>
      <c r="K2" s="68">
        <f>IF(INDEX(Linarity,1)="Yes",(G2-INDEX(Worst,1))/(INDEX(Best,1)-INDEX(Worst,1)),INDEX(pa,1)*(1-EXP(INDEX(pc,1)*(G2-INDEX(Worst,1))/(INDEX(Best,1)-INDEX(Worst,1)))))</f>
        <v>0.3500000000000001</v>
      </c>
      <c r="L2" s="68">
        <f>IF(INDEX(Linarity,1)="Yes",(H2-INDEX(Worst,1))/(INDEX(Best,1)-INDEX(Worst,1)),INDEX(pa,1)*(1-EXP(INDEX(pc,1)*(H2-INDEX(Worst,1))/(INDEX(Best,1)-INDEX(Worst,1)))))</f>
        <v>0.6499999999999999</v>
      </c>
      <c r="M2" s="70">
        <v>1</v>
      </c>
      <c r="N2" s="55"/>
    </row>
    <row r="3" spans="5:14" ht="13.5" customHeight="1">
      <c r="E3" s="61"/>
      <c r="F3" s="91" t="str">
        <f>'Decision Table'!C12</f>
        <v>Presentation</v>
      </c>
      <c r="G3" s="92">
        <v>3.803</v>
      </c>
      <c r="H3" s="93">
        <v>2.908</v>
      </c>
      <c r="I3" s="62">
        <f>MIN(Utility!$J3,Utility!$L3)</f>
        <v>2</v>
      </c>
      <c r="J3" s="62">
        <f>MAX(Utility!$J3,Utility!$L3)</f>
        <v>4</v>
      </c>
      <c r="K3" s="68">
        <f>IF(INDEX(Linarity,2)="Yes",(G3-INDEX(Worst,2))/(INDEX(Best,2)-INDEX(Worst,2)),INDEX(pa,2)*(1-EXP(INDEX(pc,2)*(G3-INDEX(Worst,2))/(INDEX(Best,2)-INDEX(Worst,2)))))</f>
        <v>0.9015</v>
      </c>
      <c r="L3" s="68">
        <f>IF(INDEX(Linarity,2)="Yes",(H3-INDEX(Worst,2))/(INDEX(Best,2)-INDEX(Worst,2)),INDEX(pa,2)*(1-EXP(INDEX(pc,2)*(H3-INDEX(Worst,2))/(INDEX(Best,2)-INDEX(Worst,2)))))</f>
        <v>0.45399999999999996</v>
      </c>
      <c r="M3" s="71">
        <f>IF(ISBLANK('Decision Table'!C12),0,($K$2-$L$2)/(L3-K3))</f>
        <v>0.6703910614525136</v>
      </c>
      <c r="N3" s="55"/>
    </row>
    <row r="4" spans="5:14" ht="13.5" customHeight="1">
      <c r="E4" s="61"/>
      <c r="F4" s="91" t="str">
        <f>'Decision Table'!C13</f>
        <v>Participation</v>
      </c>
      <c r="G4" s="92">
        <v>3.74</v>
      </c>
      <c r="H4" s="93">
        <v>2.84</v>
      </c>
      <c r="I4" s="62">
        <f>MIN(Utility!$J4,Utility!$L4)</f>
        <v>2</v>
      </c>
      <c r="J4" s="62">
        <f>MAX(Utility!$J4,Utility!$L4)</f>
        <v>4</v>
      </c>
      <c r="K4" s="68">
        <f>IF(INDEX(Linarity,3)="Yes",(G4-INDEX(Worst,3))/(INDEX(Best,3)-INDEX(Worst,3)),INDEX(pa,3)*(1-EXP(INDEX(pc,3)*(G4-INDEX(Worst,3))/(INDEX(Best,3)-INDEX(Worst,3)))))</f>
        <v>0.8700000000000001</v>
      </c>
      <c r="L4" s="68">
        <f>IF(INDEX(Linarity,3)="Yes",(H4-INDEX(Worst,3))/(INDEX(Best,3)-INDEX(Worst,3)),INDEX(pa,3)*(1-EXP(INDEX(pc,3)*(H4-INDEX(Worst,3))/(INDEX(Best,3)-INDEX(Worst,3)))))</f>
        <v>0.41999999999999993</v>
      </c>
      <c r="M4" s="71">
        <f>IF(ISBLANK('Decision Table'!C13),0,($K$2-$L$2)/(L4-K4))</f>
        <v>0.666666666666666</v>
      </c>
      <c r="N4" s="55"/>
    </row>
    <row r="5" spans="5:14" ht="13.5" customHeight="1">
      <c r="E5" s="61"/>
      <c r="F5" s="91" t="str">
        <f>'Decision Table'!C14</f>
        <v>Quiz</v>
      </c>
      <c r="G5" s="92">
        <v>36.14</v>
      </c>
      <c r="H5" s="93">
        <v>21.2</v>
      </c>
      <c r="I5" s="62">
        <f>MIN(Utility!$J5,Utility!$L5)</f>
        <v>0</v>
      </c>
      <c r="J5" s="62">
        <f>MAX(Utility!$J5,Utility!$L5)</f>
        <v>50</v>
      </c>
      <c r="K5" s="68">
        <f>IF(INDEX(Linarity,4)="Yes",(G5-INDEX(Worst,4))/(INDEX(Best,4)-INDEX(Worst,4)),INDEX(pa,4)*(1-EXP(INDEX(pc,4)*(G5-INDEX(Worst,4))/(INDEX(Best,4)-INDEX(Worst,4)))))</f>
        <v>0.7228</v>
      </c>
      <c r="L5" s="68">
        <f>IF(INDEX(Linarity,4)="Yes",(H5-INDEX(Worst,4))/(INDEX(Best,4)-INDEX(Worst,4)),INDEX(pa,4)*(1-EXP(INDEX(pc,4)*(H5-INDEX(Worst,4))/(INDEX(Best,4)-INDEX(Worst,4)))))</f>
        <v>0.424</v>
      </c>
      <c r="M5" s="71">
        <f>IF(ISBLANK('Decision Table'!C14),0,($K$2-$L$2)/(L5-K5))</f>
        <v>1.0040160642570275</v>
      </c>
      <c r="N5" s="55"/>
    </row>
    <row r="6" spans="5:14" ht="13.5" customHeight="1">
      <c r="E6" s="61"/>
      <c r="F6" s="91">
        <f>'Decision Table'!C15</f>
        <v>0</v>
      </c>
      <c r="G6" s="92"/>
      <c r="H6" s="93"/>
      <c r="I6" s="62">
        <f>MIN(Utility!$J6,Utility!$L6)</f>
        <v>0</v>
      </c>
      <c r="J6" s="62">
        <f>MAX(Utility!$J6,Utility!$L6)</f>
        <v>0</v>
      </c>
      <c r="K6" s="68" t="e">
        <f>IF(INDEX(Linarity,5)="Yes",(G6-INDEX(Worst,5))/(INDEX(Best,5)-INDEX(Worst,5)),INDEX(pa,5)*(1-EXP(INDEX(pc,5)*(G6-INDEX(Worst,5))/(INDEX(Best,5)-INDEX(Worst,5)))))</f>
        <v>#VALUE!</v>
      </c>
      <c r="L6" s="68" t="e">
        <f>IF(INDEX(Linarity,5)="Yes",(H6-INDEX(Worst,5))/(INDEX(Best,5)-INDEX(Worst,5)),INDEX(pa,5)*(1-EXP(INDEX(pc,5)*(H6-INDEX(Worst,5))/(INDEX(Best,5)-INDEX(Worst,5)))))</f>
        <v>#VALUE!</v>
      </c>
      <c r="M6" s="71">
        <f>IF(ISBLANK('Decision Table'!C15),0,($K$2-$L$2)/(L6-K6))</f>
        <v>0</v>
      </c>
      <c r="N6" s="55"/>
    </row>
    <row r="7" spans="5:14" ht="13.5" customHeight="1">
      <c r="E7" s="61"/>
      <c r="F7" s="91">
        <f>'Decision Table'!C16</f>
        <v>0</v>
      </c>
      <c r="G7" s="92"/>
      <c r="H7" s="93"/>
      <c r="I7" s="62">
        <f>MIN(Utility!$J7,Utility!$L7)</f>
        <v>0</v>
      </c>
      <c r="J7" s="62">
        <f>MAX(Utility!$J7,Utility!$L7)</f>
        <v>0</v>
      </c>
      <c r="K7" s="68" t="e">
        <f>IF(INDEX(Linarity,6)="Yes",(G7-INDEX(Worst,6))/(INDEX(Best,6)-INDEX(Worst,6)),INDEX(pa,6)*(1-EXP(INDEX(pc,6)*(G7-INDEX(Worst,6))/(INDEX(Best,6)-INDEX(Worst,6)))))</f>
        <v>#VALUE!</v>
      </c>
      <c r="L7" s="68" t="e">
        <f>IF(INDEX(Linarity,6)="Yes",(H7-INDEX(Worst,6))/(INDEX(Best,6)-INDEX(Worst,6)),INDEX(pa,6)*(1-EXP(INDEX(pc,6)*(H7-INDEX(Worst,6))/(INDEX(Best,6)-INDEX(Worst,6)))))</f>
        <v>#VALUE!</v>
      </c>
      <c r="M7" s="71">
        <f>IF(ISBLANK('Decision Table'!C16),0,($K$2-$L$2)/(L7-K7))</f>
        <v>0</v>
      </c>
      <c r="N7" s="55"/>
    </row>
    <row r="8" spans="5:14" ht="13.5" customHeight="1">
      <c r="E8" s="61"/>
      <c r="F8" s="91">
        <f>'Decision Table'!C17</f>
        <v>0</v>
      </c>
      <c r="G8" s="92"/>
      <c r="H8" s="93"/>
      <c r="I8" s="62">
        <f>MIN(Utility!$J8,Utility!$L8)</f>
        <v>0</v>
      </c>
      <c r="J8" s="62">
        <f>MAX(Utility!$J8,Utility!$L8)</f>
        <v>0</v>
      </c>
      <c r="K8" s="68" t="e">
        <f>IF(INDEX(Linarity,7)="Yes",(G8-INDEX(Worst,7))/(INDEX(Best,7)-INDEX(Worst,7)),INDEX(pa,7)*(1-EXP(INDEX(pc,7)*(G8-INDEX(Worst,7))/(INDEX(Best,7)-INDEX(Worst,7)))))</f>
        <v>#VALUE!</v>
      </c>
      <c r="L8" s="68" t="e">
        <f>IF(INDEX(Linarity,7)="Yes",(H8-INDEX(Worst,7))/(INDEX(Best,7)-INDEX(Worst,7)),INDEX(pa,7)*(1-EXP(INDEX(pc,7)*(H8-INDEX(Worst,7))/(INDEX(Best,7)-INDEX(Worst,7)))))</f>
        <v>#VALUE!</v>
      </c>
      <c r="M8" s="71">
        <f>IF(ISBLANK('Decision Table'!C17),0,($K$2-$L$2)/(L8-K8))</f>
        <v>0</v>
      </c>
      <c r="N8" s="55"/>
    </row>
    <row r="9" spans="5:14" ht="13.5" customHeight="1">
      <c r="E9" s="61"/>
      <c r="F9" s="91">
        <f>'Decision Table'!C18</f>
        <v>0</v>
      </c>
      <c r="G9" s="92"/>
      <c r="H9" s="93"/>
      <c r="I9" s="62">
        <f>MIN(Utility!$J9,Utility!$L9)</f>
        <v>0</v>
      </c>
      <c r="J9" s="62">
        <f>MAX(Utility!$J9,Utility!$L9)</f>
        <v>0</v>
      </c>
      <c r="K9" s="68" t="e">
        <f>IF(INDEX(Linarity,8)="Yes",(G9-INDEX(Worst,8))/(INDEX(Best,8)-INDEX(Worst,8)),INDEX(pa,8)*(1-EXP(INDEX(pc,8)*(G9-INDEX(Worst,8))/(INDEX(Best,8)-INDEX(Worst,8)))))</f>
        <v>#VALUE!</v>
      </c>
      <c r="L9" s="68" t="e">
        <f>IF(INDEX(Linarity,8)="Yes",(H9-INDEX(Worst,8))/(INDEX(Best,8)-INDEX(Worst,8)),INDEX(pa,8)*(1-EXP(INDEX(pc,8)*(H9-INDEX(Worst,8))/(INDEX(Best,8)-INDEX(Worst,8)))))</f>
        <v>#VALUE!</v>
      </c>
      <c r="M9" s="71">
        <f>IF(ISBLANK('Decision Table'!C18),0,($K$2-$L$2)/(L9-K9))</f>
        <v>0</v>
      </c>
      <c r="N9" s="55"/>
    </row>
    <row r="10" spans="5:14" ht="13.5" customHeight="1">
      <c r="E10" s="61"/>
      <c r="F10" s="91">
        <f>'Decision Table'!C19</f>
        <v>0</v>
      </c>
      <c r="G10" s="92"/>
      <c r="H10" s="93"/>
      <c r="I10" s="62">
        <f>MIN(Utility!$J10,Utility!$L10)</f>
        <v>0</v>
      </c>
      <c r="J10" s="62">
        <f>MAX(Utility!$J10,Utility!$L10)</f>
        <v>0</v>
      </c>
      <c r="K10" s="68" t="e">
        <f>IF(INDEX(Linarity,9)="Yes",(G10-INDEX(Worst,9))/(INDEX(Best,9)-INDEX(Worst,9)),INDEX(pa,9)*(1-EXP(INDEX(pc,9)*(G10-INDEX(Worst,9))/(INDEX(Best,9)-INDEX(Worst,9)))))</f>
        <v>#VALUE!</v>
      </c>
      <c r="L10" s="68" t="e">
        <f>IF(INDEX(Linarity,9)="Yes",(H10-INDEX(Worst,9))/(INDEX(Best,9)-INDEX(Worst,9)),INDEX(pa,9)*(1-EXP(INDEX(pc,9)*(H10-INDEX(Worst,9))/(INDEX(Best,9)-INDEX(Worst,9)))))</f>
        <v>#VALUE!</v>
      </c>
      <c r="M10" s="71">
        <f>IF(ISBLANK('Decision Table'!C19),0,($K$2-$L$2)/(L10-K10))</f>
        <v>0</v>
      </c>
      <c r="N10" s="55"/>
    </row>
    <row r="11" spans="5:14" ht="13.5" customHeight="1">
      <c r="E11" s="61"/>
      <c r="F11" s="91">
        <f>'Decision Table'!C20</f>
        <v>0</v>
      </c>
      <c r="G11" s="92"/>
      <c r="H11" s="93"/>
      <c r="I11" s="62">
        <f>MIN(Utility!$J11,Utility!$L11)</f>
        <v>0</v>
      </c>
      <c r="J11" s="62">
        <f>MAX(Utility!$J11,Utility!$L11)</f>
        <v>0</v>
      </c>
      <c r="K11" s="68" t="e">
        <f>IF(INDEX(Linarity,10)="Yes",(G11-INDEX(Worst,10))/(INDEX(Best,10)-INDEX(Worst,10)),INDEX(pa,10)*(1-EXP(INDEX(pc,10)*(G11-INDEX(Worst,10))/(INDEX(Best,10)-INDEX(Worst,10)))))</f>
        <v>#VALUE!</v>
      </c>
      <c r="L11" s="68" t="e">
        <f>IF(INDEX(Linarity,10)="Yes",(H11-INDEX(Worst,10))/(INDEX(Best,10)-INDEX(Worst,10)),INDEX(pa,10)*(1-EXP(INDEX(pc,10)*(H11-INDEX(Worst,10))/(INDEX(Best,10)-INDEX(Worst,10)))))</f>
        <v>#VALUE!</v>
      </c>
      <c r="M11" s="71">
        <f>IF(ISBLANK('Decision Table'!C20),0,($K$2-$L$2)/(L11-K11))</f>
        <v>0</v>
      </c>
      <c r="N11" s="55"/>
    </row>
    <row r="12" spans="5:14" ht="13.5" customHeight="1">
      <c r="E12" s="61"/>
      <c r="F12" s="91">
        <f>'Decision Table'!C21</f>
        <v>0</v>
      </c>
      <c r="G12" s="92"/>
      <c r="H12" s="93"/>
      <c r="I12" s="62">
        <f>MIN(Utility!$J12,Utility!$L12)</f>
        <v>0</v>
      </c>
      <c r="J12" s="62">
        <f>MAX(Utility!$J12,Utility!$L12)</f>
        <v>0</v>
      </c>
      <c r="K12" s="68" t="e">
        <f>IF(INDEX(Linarity,11)="Yes",(G12-INDEX(Worst,11))/(INDEX(Best,11)-INDEX(Worst,11)),INDEX(pa,11)*(1-EXP(INDEX(pc,11)*(G12-INDEX(Worst,11))/(INDEX(Best,11)-INDEX(Worst,11)))))</f>
        <v>#VALUE!</v>
      </c>
      <c r="L12" s="68" t="e">
        <f>IF(INDEX(Linarity,11)="Yes",(H12-INDEX(Worst,11))/(INDEX(Best,11)-INDEX(Worst,11)),INDEX(pa,11)*(1-EXP(INDEX(pc,11)*(H12-INDEX(Worst,11))/(INDEX(Best,11)-INDEX(Worst,11)))))</f>
        <v>#VALUE!</v>
      </c>
      <c r="M12" s="71">
        <f>IF(ISBLANK('Decision Table'!C21),0,($K$2-$L$2)/(L12-K12))</f>
        <v>0</v>
      </c>
      <c r="N12" s="55"/>
    </row>
    <row r="13" spans="5:14" ht="13.5" customHeight="1">
      <c r="E13" s="61"/>
      <c r="F13" s="91">
        <f>'Decision Table'!C22</f>
        <v>0</v>
      </c>
      <c r="G13" s="92"/>
      <c r="H13" s="93"/>
      <c r="I13" s="62">
        <f>MIN(Utility!$J13,Utility!$L13)</f>
        <v>0</v>
      </c>
      <c r="J13" s="62">
        <f>MAX(Utility!$J13,Utility!$L13)</f>
        <v>0</v>
      </c>
      <c r="K13" s="68" t="e">
        <f>IF(INDEX(Linarity,12)="Yes",(G13-INDEX(Worst,12))/(INDEX(Best,12)-INDEX(Worst,12)),INDEX(pa,12)*(1-EXP(INDEX(pc,12)*(G13-INDEX(Worst,12))/(INDEX(Best,12)-INDEX(Worst,12)))))</f>
        <v>#VALUE!</v>
      </c>
      <c r="L13" s="68" t="e">
        <f>IF(INDEX(Linarity,12)="Yes",(H13-INDEX(Worst,12))/(INDEX(Best,12)-INDEX(Worst,12)),INDEX(pa,12)*(1-EXP(INDEX(pc,12)*(H13-INDEX(Worst,12))/(INDEX(Best,12)-INDEX(Worst,12)))))</f>
        <v>#VALUE!</v>
      </c>
      <c r="M13" s="71">
        <f>IF(ISBLANK('Decision Table'!C22),0,($K$2-$L$2)/(L13-K13))</f>
        <v>0</v>
      </c>
      <c r="N13" s="55"/>
    </row>
    <row r="14" spans="5:14" ht="13.5" customHeight="1">
      <c r="E14" s="61"/>
      <c r="F14" s="91">
        <f>'Decision Table'!C23</f>
        <v>0</v>
      </c>
      <c r="G14" s="92"/>
      <c r="H14" s="93"/>
      <c r="I14" s="62">
        <f>MIN(Utility!$J14,Utility!$L14)</f>
        <v>0</v>
      </c>
      <c r="J14" s="62">
        <f>MAX(Utility!$J14,Utility!$L14)</f>
        <v>0</v>
      </c>
      <c r="K14" s="68" t="e">
        <f>IF(INDEX(Linarity,13)="Yes",(G14-INDEX(Worst,13))/(INDEX(Best,13)-INDEX(Worst,13)),INDEX(pa,13)*(1-EXP(INDEX(pc,13)*(G14-INDEX(Worst,13))/(INDEX(Best,13)-INDEX(Worst,13)))))</f>
        <v>#VALUE!</v>
      </c>
      <c r="L14" s="68" t="e">
        <f>IF(INDEX(Linarity,13)="Yes",(H14-INDEX(Worst,13))/(INDEX(Best,13)-INDEX(Worst,13)),INDEX(pa,13)*(1-EXP(INDEX(pc,13)*(H14-INDEX(Worst,13))/(INDEX(Best,13)-INDEX(Worst,13)))))</f>
        <v>#VALUE!</v>
      </c>
      <c r="M14" s="71">
        <f>IF(ISBLANK('Decision Table'!C23),0,($K$2-$L$2)/(L14-K14))</f>
        <v>0</v>
      </c>
      <c r="N14" s="55"/>
    </row>
    <row r="15" spans="5:14" ht="13.5" customHeight="1">
      <c r="E15" s="61"/>
      <c r="F15" s="91">
        <f>'Decision Table'!C24</f>
        <v>0</v>
      </c>
      <c r="G15" s="92"/>
      <c r="H15" s="93"/>
      <c r="I15" s="62">
        <f>MIN(Utility!$J15,Utility!$L15)</f>
        <v>0</v>
      </c>
      <c r="J15" s="62">
        <f>MAX(Utility!$J15,Utility!$L15)</f>
        <v>0</v>
      </c>
      <c r="K15" s="68" t="e">
        <f>IF(INDEX(Linarity,14)="Yes",(G15-INDEX(Worst,14))/(INDEX(Best,14)-INDEX(Worst,14)),INDEX(pa,14)*(1-EXP(INDEX(pc,14)*(G15-INDEX(Worst,14))/(INDEX(Best,14)-INDEX(Worst,14)))))</f>
        <v>#VALUE!</v>
      </c>
      <c r="L15" s="68" t="e">
        <f>IF(INDEX(Linarity,14)="Yes",(H15-INDEX(Worst,14))/(INDEX(Best,14)-INDEX(Worst,14)),INDEX(pa,14)*(1-EXP(INDEX(pc,14)*(H15-INDEX(Worst,14))/(INDEX(Best,14)-INDEX(Worst,14)))))</f>
        <v>#VALUE!</v>
      </c>
      <c r="M15" s="71">
        <f>IF(ISBLANK('Decision Table'!C24),0,($K$2-$L$2)/(L15-K15))</f>
        <v>0</v>
      </c>
      <c r="N15" s="55"/>
    </row>
    <row r="16" spans="5:14" ht="13.5" customHeight="1">
      <c r="E16" s="61"/>
      <c r="F16" s="91">
        <f>'Decision Table'!C25</f>
        <v>0</v>
      </c>
      <c r="G16" s="92"/>
      <c r="H16" s="93"/>
      <c r="I16" s="62">
        <f>MIN(Utility!$J16,Utility!$L16)</f>
        <v>0</v>
      </c>
      <c r="J16" s="62">
        <f>MAX(Utility!$J16,Utility!$L16)</f>
        <v>0</v>
      </c>
      <c r="K16" s="68" t="e">
        <f>IF(INDEX(Linarity,15)="Yes",(G16-INDEX(Worst,15))/(INDEX(Best,15)-INDEX(Worst,15)),INDEX(pa,15)*(1-EXP(INDEX(pc,15)*(G16-INDEX(Worst,15))/(INDEX(Best,15)-INDEX(Worst,15)))))</f>
        <v>#VALUE!</v>
      </c>
      <c r="L16" s="68" t="e">
        <f>IF(INDEX(Linarity,15)="Yes",(H16-INDEX(Worst,15))/(INDEX(Best,15)-INDEX(Worst,15)),INDEX(pa,15)*(1-EXP(INDEX(pc,15)*(H16-INDEX(Worst,15))/(INDEX(Best,15)-INDEX(Worst,15)))))</f>
        <v>#VALUE!</v>
      </c>
      <c r="M16" s="72">
        <f>IF(ISBLANK('Decision Table'!C25),0,($K$2-$L$2)/(L16-K16))</f>
        <v>0</v>
      </c>
      <c r="N16" s="55"/>
    </row>
    <row r="17" spans="5:14" ht="13.5" customHeight="1">
      <c r="E17" s="73"/>
      <c r="F17" s="94"/>
      <c r="G17" s="92">
        <f ca="1">Utility!L17+0.1*INT(5*RAND())*(Utility!J17-Utility!L17)</f>
        <v>0</v>
      </c>
      <c r="H17" s="93">
        <f ca="1">Utility!L17+0.1*(5+INT(5*RAND()))*(Utility!J17-Utility!L17)</f>
        <v>0</v>
      </c>
      <c r="I17" s="74"/>
      <c r="J17" s="74"/>
      <c r="K17" s="74"/>
      <c r="L17" s="74"/>
      <c r="M17" s="75"/>
      <c r="N17" s="74"/>
    </row>
    <row r="18" spans="1:14" ht="13.5" customHeight="1">
      <c r="A18" s="4" t="s">
        <v>43</v>
      </c>
      <c r="E18" s="40"/>
      <c r="F18" s="40"/>
      <c r="G18" s="41"/>
      <c r="H18" s="42"/>
      <c r="I18" s="43"/>
      <c r="J18" s="43"/>
      <c r="K18" s="43"/>
      <c r="L18" s="43"/>
      <c r="M18" s="44"/>
      <c r="N18" s="43"/>
    </row>
    <row r="19" spans="1:6" ht="13.5" customHeight="1">
      <c r="A19" s="29" t="s">
        <v>65</v>
      </c>
      <c r="B19" s="29"/>
      <c r="C19" s="31"/>
      <c r="D19" s="1"/>
      <c r="F19" s="6"/>
    </row>
    <row r="20" spans="1:6" ht="12.75">
      <c r="A20" s="29" t="s">
        <v>44</v>
      </c>
      <c r="B20" s="32" t="str">
        <f>F3</f>
        <v>Presentation</v>
      </c>
      <c r="C20" s="29" t="s">
        <v>46</v>
      </c>
      <c r="F20" s="6"/>
    </row>
    <row r="21" spans="1:3" ht="12.75">
      <c r="A21" s="29" t="s">
        <v>45</v>
      </c>
      <c r="B21" s="29"/>
      <c r="C21" s="29"/>
    </row>
    <row r="22" spans="1:3" ht="12.75">
      <c r="A22" s="29" t="s">
        <v>47</v>
      </c>
      <c r="B22" s="29"/>
      <c r="C22" s="29"/>
    </row>
    <row r="23" spans="1:3" ht="12.75">
      <c r="A23" s="29" t="s">
        <v>49</v>
      </c>
      <c r="B23" s="29"/>
      <c r="C23" s="29"/>
    </row>
    <row r="24" spans="1:3" ht="12.75">
      <c r="A24" s="29" t="s">
        <v>48</v>
      </c>
      <c r="B24" s="29"/>
      <c r="C24" s="29"/>
    </row>
    <row r="25" spans="1:3" ht="12.75">
      <c r="A25" s="29" t="s">
        <v>50</v>
      </c>
      <c r="B25" s="29"/>
      <c r="C25" s="29"/>
    </row>
    <row r="26" spans="1:3" ht="12.75">
      <c r="A26" s="29" t="s">
        <v>52</v>
      </c>
      <c r="B26" s="29"/>
      <c r="C26" s="29"/>
    </row>
    <row r="27" spans="1:3" ht="12.75">
      <c r="A27" s="29" t="s">
        <v>51</v>
      </c>
      <c r="B27" s="29"/>
      <c r="C27" s="29"/>
    </row>
    <row r="28" spans="1:3" ht="12.75">
      <c r="A28" s="29" t="s">
        <v>53</v>
      </c>
      <c r="B28" s="29"/>
      <c r="C28" s="29"/>
    </row>
    <row r="29" spans="1:3" ht="12.75">
      <c r="A29" s="29" t="s">
        <v>54</v>
      </c>
      <c r="B29" s="29"/>
      <c r="C29" s="29"/>
    </row>
    <row r="30" spans="1:3" ht="12.75">
      <c r="A30" s="29" t="s">
        <v>55</v>
      </c>
      <c r="B30" s="29"/>
      <c r="C30" s="29"/>
    </row>
    <row r="31" ht="12.75">
      <c r="A31" s="29" t="s">
        <v>56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9:N25"/>
  <sheetViews>
    <sheetView showGridLines="0" showRowColHeaders="0" workbookViewId="0" topLeftCell="D7">
      <selection activeCell="D9" sqref="D9"/>
    </sheetView>
  </sheetViews>
  <sheetFormatPr defaultColWidth="9.140625" defaultRowHeight="12.75"/>
  <cols>
    <col min="4" max="4" width="10.7109375" style="4" customWidth="1"/>
    <col min="5" max="7" width="8.57421875" style="0" customWidth="1"/>
    <col min="8" max="13" width="8.57421875" style="0" bestFit="1" customWidth="1"/>
    <col min="14" max="14" width="9.57421875" style="0" bestFit="1" customWidth="1"/>
  </cols>
  <sheetData>
    <row r="9" ht="12.75">
      <c r="D9" s="4" t="s">
        <v>23</v>
      </c>
    </row>
    <row r="10" spans="4:14" ht="12.75">
      <c r="D10" s="45"/>
      <c r="E10" s="45" t="str">
        <f>'Decision Table'!F10</f>
        <v>Scholar</v>
      </c>
      <c r="F10" s="45" t="str">
        <f>'Decision Table'!G10</f>
        <v>Talker</v>
      </c>
      <c r="G10" s="45" t="str">
        <f>'Decision Table'!H10</f>
        <v>Showman</v>
      </c>
      <c r="H10" s="45" t="str">
        <f>'Decision Table'!I10</f>
        <v>Worker</v>
      </c>
      <c r="I10" s="45" t="str">
        <f>'Decision Table'!J10</f>
        <v>Worst</v>
      </c>
      <c r="J10" s="45" t="str">
        <f>'Decision Table'!K10</f>
        <v>Option 6</v>
      </c>
      <c r="K10" s="45" t="str">
        <f>'Decision Table'!L10</f>
        <v>Option 7</v>
      </c>
      <c r="L10" s="45" t="str">
        <f>'Decision Table'!M10</f>
        <v>Option 8</v>
      </c>
      <c r="M10" s="45" t="str">
        <f>'Decision Table'!N10</f>
        <v>Option 9</v>
      </c>
      <c r="N10" s="45" t="str">
        <f>'Decision Table'!O10</f>
        <v>Option 10</v>
      </c>
    </row>
    <row r="11" spans="4:14" ht="12.75">
      <c r="D11" s="12" t="str">
        <f>IF(ISBLANK('Decision Table'!C11),"",'Decision Table'!C11)</f>
        <v>Hand-ins</v>
      </c>
      <c r="E11" s="13">
        <f>IF(ISBLANK('Decision Table'!F11),"",IF(Utility!$G2="Yes",('Decision Table'!F11-Utility!$J2)/(Utility!$L2-Utility!$J2),IF(Utility!$G2="No",Utility!$H2*(1-EXP(Utility!$I2*('Decision Table'!F11-Utility!$J2)/(Utility!$L2-Utility!$J2))),"")))</f>
        <v>0.75</v>
      </c>
      <c r="F11" s="13">
        <f>IF(ISBLANK('Decision Table'!G11),"",IF(Utility!$G2="Yes",('Decision Table'!G11-Utility!$J2)/(Utility!$L2-Utility!$J2),IF(Utility!$G2="No",Utility!$H2*(1-EXP(Utility!$I2*('Decision Table'!G11-Utility!$J2)/(Utility!$L2-Utility!$J2))),"")))</f>
        <v>0.5</v>
      </c>
      <c r="G11" s="13">
        <f>IF(ISBLANK('Decision Table'!H11),"",IF(Utility!$G2="Yes",('Decision Table'!H11-Utility!$J2)/(Utility!$L2-Utility!$J2),IF(Utility!$G2="No",Utility!$H2*(1-EXP(Utility!$I2*('Decision Table'!H11-Utility!$J2)/(Utility!$L2-Utility!$J2))),"")))</f>
        <v>0.25</v>
      </c>
      <c r="H11" s="13">
        <f>IF(ISBLANK('Decision Table'!I11),"",IF(Utility!$G2="Yes",('Decision Table'!I11-Utility!$J2)/(Utility!$L2-Utility!$J2),IF(Utility!$G2="No",Utility!$H2*(1-EXP(Utility!$I2*('Decision Table'!I11-Utility!$J2)/(Utility!$L2-Utility!$J2))),"")))</f>
        <v>1</v>
      </c>
      <c r="I11" s="13">
        <f>IF(ISBLANK('Decision Table'!J11),"",IF(Utility!$G2="Yes",('Decision Table'!J11-Utility!$J2)/(Utility!$L2-Utility!$J2),IF(Utility!$G2="No",Utility!$H2*(1-EXP(Utility!$I2*('Decision Table'!J11-Utility!$J2)/(Utility!$L2-Utility!$J2))),"")))</f>
        <v>0</v>
      </c>
      <c r="J11" s="13">
        <f>IF(ISBLANK('Decision Table'!K11),"",IF(Utility!$G2="Yes",('Decision Table'!K11-Utility!$J2)/(Utility!$L2-Utility!$J2),IF(Utility!$G2="No",Utility!$H2*(1-EXP(Utility!$I2*('Decision Table'!K11-Utility!$J2)/(Utility!$L2-Utility!$J2))),"")))</f>
        <v>1</v>
      </c>
      <c r="K11" s="13">
        <f>IF(ISBLANK('Decision Table'!L11),"",IF(Utility!$G2="Yes",('Decision Table'!L11-Utility!$J2)/(Utility!$L2-Utility!$J2),IF(Utility!$G2="No",Utility!$H2*(1-EXP(Utility!$I2*('Decision Table'!L11-Utility!$J2)/(Utility!$L2-Utility!$J2))),"")))</f>
      </c>
      <c r="L11" s="13">
        <f>IF(ISBLANK('Decision Table'!M11),"",IF(Utility!$G2="Yes",('Decision Table'!M11-Utility!$J2)/(Utility!$L2-Utility!$J2),IF(Utility!$G2="No",Utility!$H2*(1-EXP(Utility!$I2*('Decision Table'!M11-Utility!$J2)/(Utility!$L2-Utility!$J2))),"")))</f>
      </c>
      <c r="M11" s="13">
        <f>IF(ISBLANK('Decision Table'!N11),"",IF(Utility!$G2="Yes",('Decision Table'!N11-Utility!$J2)/(Utility!$L2-Utility!$J2),IF(Utility!$G2="No",Utility!$H2*(1-EXP(Utility!$I2*('Decision Table'!N11-Utility!$J2)/(Utility!$L2-Utility!$J2))),"")))</f>
      </c>
      <c r="N11" s="14">
        <f>IF(ISBLANK('Decision Table'!O11),"",IF(Utility!$G2="Yes",('Decision Table'!O11-Utility!$J2)/(Utility!$L2-Utility!$J2),IF(Utility!$G2="No",Utility!$H2*(1-EXP(Utility!$I2*('Decision Table'!O11-Utility!$J2)/(Utility!$L2-Utility!$J2))),"")))</f>
      </c>
    </row>
    <row r="12" spans="4:14" ht="12.75">
      <c r="D12" s="11" t="str">
        <f>IF(ISBLANK('Decision Table'!C12),"",'Decision Table'!C12)</f>
        <v>Presentation</v>
      </c>
      <c r="E12" s="11">
        <f>IF(ISBLANK('Decision Table'!F12),"",IF(Utility!$G3="Yes",('Decision Table'!F12-Utility!$J3)/(Utility!$L3-Utility!$J3),IF(Utility!$G3="No",Utility!$H3*(1-EXP(Utility!$I3*('Decision Table'!F12-Utility!$J3)/(Utility!$L3-Utility!$J3))),"")))</f>
        <v>0.25</v>
      </c>
      <c r="F12" s="11">
        <f>IF(ISBLANK('Decision Table'!G12),"",IF(Utility!$G3="Yes",('Decision Table'!G12-Utility!$J3)/(Utility!$L3-Utility!$J3),IF(Utility!$G3="No",Utility!$H3*(1-EXP(Utility!$I3*('Decision Table'!G12-Utility!$J3)/(Utility!$L3-Utility!$J3))),"")))</f>
        <v>0.8500000000000001</v>
      </c>
      <c r="G12" s="11">
        <f>IF(ISBLANK('Decision Table'!H12),"",IF(Utility!$G3="Yes",('Decision Table'!H12-Utility!$J3)/(Utility!$L3-Utility!$J3),IF(Utility!$G3="No",Utility!$H3*(1-EXP(Utility!$I3*('Decision Table'!H12-Utility!$J3)/(Utility!$L3-Utility!$J3))),"")))</f>
        <v>1</v>
      </c>
      <c r="H12" s="11">
        <f>IF(ISBLANK('Decision Table'!I12),"",IF(Utility!$G3="Yes",('Decision Table'!I12-Utility!$J3)/(Utility!$L3-Utility!$J3),IF(Utility!$G3="No",Utility!$H3*(1-EXP(Utility!$I3*('Decision Table'!I12-Utility!$J3)/(Utility!$L3-Utility!$J3))),"")))</f>
        <v>0.6000000000000001</v>
      </c>
      <c r="I12" s="11">
        <f>IF(ISBLANK('Decision Table'!J12),"",IF(Utility!$G3="Yes",('Decision Table'!J12-Utility!$J3)/(Utility!$L3-Utility!$J3),IF(Utility!$G3="No",Utility!$H3*(1-EXP(Utility!$I3*('Decision Table'!J12-Utility!$J3)/(Utility!$L3-Utility!$J3))),"")))</f>
        <v>0</v>
      </c>
      <c r="J12" s="11">
        <f>IF(ISBLANK('Decision Table'!K12),"",IF(Utility!$G3="Yes",('Decision Table'!K12-Utility!$J3)/(Utility!$L3-Utility!$J3),IF(Utility!$G3="No",Utility!$H3*(1-EXP(Utility!$I3*('Decision Table'!K12-Utility!$J3)/(Utility!$L3-Utility!$J3))),"")))</f>
        <v>1</v>
      </c>
      <c r="K12" s="11">
        <f>IF(ISBLANK('Decision Table'!L12),"",IF(Utility!$G3="Yes",('Decision Table'!L12-Utility!$J3)/(Utility!$L3-Utility!$J3),IF(Utility!$G3="No",Utility!$H3*(1-EXP(Utility!$I3*('Decision Table'!L12-Utility!$J3)/(Utility!$L3-Utility!$J3))),"")))</f>
      </c>
      <c r="L12" s="11">
        <f>IF(ISBLANK('Decision Table'!M12),"",IF(Utility!$G3="Yes",('Decision Table'!M12-Utility!$J3)/(Utility!$L3-Utility!$J3),IF(Utility!$G3="No",Utility!$H3*(1-EXP(Utility!$I3*('Decision Table'!M12-Utility!$J3)/(Utility!$L3-Utility!$J3))),"")))</f>
      </c>
      <c r="M12" s="11">
        <f>IF(ISBLANK('Decision Table'!N12),"",IF(Utility!$G3="Yes",('Decision Table'!N12-Utility!$J3)/(Utility!$L3-Utility!$J3),IF(Utility!$G3="No",Utility!$H3*(1-EXP(Utility!$I3*('Decision Table'!N12-Utility!$J3)/(Utility!$L3-Utility!$J3))),"")))</f>
      </c>
      <c r="N12" s="11">
        <f>IF(ISBLANK('Decision Table'!O12),"",IF(Utility!$G3="Yes",('Decision Table'!O12-Utility!$J3)/(Utility!$L3-Utility!$J3),IF(Utility!$G3="No",Utility!$H3*(1-EXP(Utility!$I3*('Decision Table'!O12-Utility!$J3)/(Utility!$L3-Utility!$J3))),"")))</f>
      </c>
    </row>
    <row r="13" spans="4:14" ht="12.75">
      <c r="D13" s="12" t="str">
        <f>IF(ISBLANK('Decision Table'!C13),"",'Decision Table'!C13)</f>
        <v>Participation</v>
      </c>
      <c r="E13" s="13">
        <f>IF(ISBLANK('Decision Table'!F13),"",IF(Utility!$G4="Yes",('Decision Table'!F13-Utility!$J4)/(Utility!$L4-Utility!$J4),IF(Utility!$G4="No",Utility!$H4*(1-EXP(Utility!$I4*('Decision Table'!F13-Utility!$J4)/(Utility!$L4-Utility!$J4))),"")))</f>
        <v>0.44999999999999996</v>
      </c>
      <c r="F13" s="13">
        <f>IF(ISBLANK('Decision Table'!G13),"",IF(Utility!$G4="Yes",('Decision Table'!G13-Utility!$J4)/(Utility!$L4-Utility!$J4),IF(Utility!$G4="No",Utility!$H4*(1-EXP(Utility!$I4*('Decision Table'!G13-Utility!$J4)/(Utility!$L4-Utility!$J4))),"")))</f>
        <v>1</v>
      </c>
      <c r="G13" s="13">
        <f>IF(ISBLANK('Decision Table'!H13),"",IF(Utility!$G4="Yes",('Decision Table'!H13-Utility!$J4)/(Utility!$L4-Utility!$J4),IF(Utility!$G4="No",Utility!$H4*(1-EXP(Utility!$I4*('Decision Table'!H13-Utility!$J4)/(Utility!$L4-Utility!$J4))),"")))</f>
        <v>0.8</v>
      </c>
      <c r="H13" s="13">
        <f>IF(ISBLANK('Decision Table'!I13),"",IF(Utility!$G4="Yes",('Decision Table'!I13-Utility!$J4)/(Utility!$L4-Utility!$J4),IF(Utility!$G4="No",Utility!$H4*(1-EXP(Utility!$I4*('Decision Table'!I13-Utility!$J4)/(Utility!$L4-Utility!$J4))),"")))</f>
        <v>0.3500000000000001</v>
      </c>
      <c r="I13" s="13">
        <f>IF(ISBLANK('Decision Table'!J13),"",IF(Utility!$G4="Yes",('Decision Table'!J13-Utility!$J4)/(Utility!$L4-Utility!$J4),IF(Utility!$G4="No",Utility!$H4*(1-EXP(Utility!$I4*('Decision Table'!J13-Utility!$J4)/(Utility!$L4-Utility!$J4))),"")))</f>
        <v>0</v>
      </c>
      <c r="J13" s="13">
        <f>IF(ISBLANK('Decision Table'!K13),"",IF(Utility!$G4="Yes",('Decision Table'!K13-Utility!$J4)/(Utility!$L4-Utility!$J4),IF(Utility!$G4="No",Utility!$H4*(1-EXP(Utility!$I4*('Decision Table'!K13-Utility!$J4)/(Utility!$L4-Utility!$J4))),"")))</f>
        <v>1</v>
      </c>
      <c r="K13" s="13">
        <f>IF(ISBLANK('Decision Table'!L13),"",IF(Utility!$G4="Yes",('Decision Table'!L13-Utility!$J4)/(Utility!$L4-Utility!$J4),IF(Utility!$G4="No",Utility!$H4*(1-EXP(Utility!$I4*('Decision Table'!L13-Utility!$J4)/(Utility!$L4-Utility!$J4))),"")))</f>
      </c>
      <c r="L13" s="13">
        <f>IF(ISBLANK('Decision Table'!M13),"",IF(Utility!$G4="Yes",('Decision Table'!M13-Utility!$J4)/(Utility!$L4-Utility!$J4),IF(Utility!$G4="No",Utility!$H4*(1-EXP(Utility!$I4*('Decision Table'!M13-Utility!$J4)/(Utility!$L4-Utility!$J4))),"")))</f>
      </c>
      <c r="M13" s="13">
        <f>IF(ISBLANK('Decision Table'!N13),"",IF(Utility!$G4="Yes",('Decision Table'!N13-Utility!$J4)/(Utility!$L4-Utility!$J4),IF(Utility!$G4="No",Utility!$H4*(1-EXP(Utility!$I4*('Decision Table'!N13-Utility!$J4)/(Utility!$L4-Utility!$J4))),"")))</f>
      </c>
      <c r="N13" s="14">
        <f>IF(ISBLANK('Decision Table'!O13),"",IF(Utility!$G4="Yes",('Decision Table'!O13-Utility!$J4)/(Utility!$L4-Utility!$J4),IF(Utility!$G4="No",Utility!$H4*(1-EXP(Utility!$I4*('Decision Table'!O13-Utility!$J4)/(Utility!$L4-Utility!$J4))),"")))</f>
      </c>
    </row>
    <row r="14" spans="4:14" ht="12.75">
      <c r="D14" s="11" t="str">
        <f>IF(ISBLANK('Decision Table'!C14),"",'Decision Table'!C14)</f>
        <v>Quiz</v>
      </c>
      <c r="E14" s="11">
        <f>IF(ISBLANK('Decision Table'!F14),"",IF(Utility!$G5="Yes",('Decision Table'!F14-Utility!$J5)/(Utility!$L5-Utility!$J5),IF(Utility!$G5="No",Utility!$H5*(1-EXP(Utility!$I5*('Decision Table'!F14-Utility!$J5)/(Utility!$L5-Utility!$J5))),"")))</f>
        <v>1</v>
      </c>
      <c r="F14" s="11">
        <f>IF(ISBLANK('Decision Table'!G14),"",IF(Utility!$G5="Yes",('Decision Table'!G14-Utility!$J5)/(Utility!$L5-Utility!$J5),IF(Utility!$G5="No",Utility!$H5*(1-EXP(Utility!$I5*('Decision Table'!G14-Utility!$J5)/(Utility!$L5-Utility!$J5))),"")))</f>
        <v>0.3</v>
      </c>
      <c r="G14" s="11">
        <f>IF(ISBLANK('Decision Table'!H14),"",IF(Utility!$G5="Yes",('Decision Table'!H14-Utility!$J5)/(Utility!$L5-Utility!$J5),IF(Utility!$G5="No",Utility!$H5*(1-EXP(Utility!$I5*('Decision Table'!H14-Utility!$J5)/(Utility!$L5-Utility!$J5))),"")))</f>
        <v>0.26</v>
      </c>
      <c r="H14" s="11">
        <f>IF(ISBLANK('Decision Table'!I14),"",IF(Utility!$G5="Yes",('Decision Table'!I14-Utility!$J5)/(Utility!$L5-Utility!$J5),IF(Utility!$G5="No",Utility!$H5*(1-EXP(Utility!$I5*('Decision Table'!I14-Utility!$J5)/(Utility!$L5-Utility!$J5))),"")))</f>
        <v>0.6</v>
      </c>
      <c r="I14" s="11">
        <f>IF(ISBLANK('Decision Table'!J14),"",IF(Utility!$G5="Yes",('Decision Table'!J14-Utility!$J5)/(Utility!$L5-Utility!$J5),IF(Utility!$G5="No",Utility!$H5*(1-EXP(Utility!$I5*('Decision Table'!J14-Utility!$J5)/(Utility!$L5-Utility!$J5))),"")))</f>
        <v>0</v>
      </c>
      <c r="J14" s="11">
        <f>IF(ISBLANK('Decision Table'!K14),"",IF(Utility!$G5="Yes",('Decision Table'!K14-Utility!$J5)/(Utility!$L5-Utility!$J5),IF(Utility!$G5="No",Utility!$H5*(1-EXP(Utility!$I5*('Decision Table'!K14-Utility!$J5)/(Utility!$L5-Utility!$J5))),"")))</f>
        <v>1</v>
      </c>
      <c r="K14" s="11">
        <f>IF(ISBLANK('Decision Table'!L14),"",IF(Utility!$G5="Yes",('Decision Table'!L14-Utility!$J5)/(Utility!$L5-Utility!$J5),IF(Utility!$G5="No",Utility!$H5*(1-EXP(Utility!$I5*('Decision Table'!L14-Utility!$J5)/(Utility!$L5-Utility!$J5))),"")))</f>
      </c>
      <c r="L14" s="11">
        <f>IF(ISBLANK('Decision Table'!M14),"",IF(Utility!$G5="Yes",('Decision Table'!M14-Utility!$J5)/(Utility!$L5-Utility!$J5),IF(Utility!$G5="No",Utility!$H5*(1-EXP(Utility!$I5*('Decision Table'!M14-Utility!$J5)/(Utility!$L5-Utility!$J5))),"")))</f>
      </c>
      <c r="M14" s="11">
        <f>IF(ISBLANK('Decision Table'!N14),"",IF(Utility!$G5="Yes",('Decision Table'!N14-Utility!$J5)/(Utility!$L5-Utility!$J5),IF(Utility!$G5="No",Utility!$H5*(1-EXP(Utility!$I5*('Decision Table'!N14-Utility!$J5)/(Utility!$L5-Utility!$J5))),"")))</f>
      </c>
      <c r="N14" s="11">
        <f>IF(ISBLANK('Decision Table'!O14),"",IF(Utility!$G5="Yes",('Decision Table'!O14-Utility!$J5)/(Utility!$L5-Utility!$J5),IF(Utility!$G5="No",Utility!$H5*(1-EXP(Utility!$I5*('Decision Table'!O14-Utility!$J5)/(Utility!$L5-Utility!$J5))),"")))</f>
      </c>
    </row>
    <row r="15" spans="4:14" ht="12.75">
      <c r="D15" s="12">
        <f>IF(ISBLANK('Decision Table'!C15),"",'Decision Table'!C15)</f>
      </c>
      <c r="E15" s="13">
        <f>IF(ISBLANK('Decision Table'!F15),"",IF(Utility!$G6="Yes",('Decision Table'!F15-Utility!$J6)/(Utility!$L6-Utility!$J6),IF(Utility!$G6="No",Utility!$H6*(1-EXP(Utility!$I6*('Decision Table'!F15-Utility!$J6)/(Utility!$L6-Utility!$J6))),"")))</f>
      </c>
      <c r="F15" s="13">
        <f>IF(ISBLANK('Decision Table'!G15),"",IF(Utility!$G6="Yes",('Decision Table'!G15-Utility!$J6)/(Utility!$L6-Utility!$J6),IF(Utility!$G6="No",Utility!$H6*(1-EXP(Utility!$I6*('Decision Table'!G15-Utility!$J6)/(Utility!$L6-Utility!$J6))),"")))</f>
      </c>
      <c r="G15" s="13">
        <f>IF(ISBLANK('Decision Table'!H15),"",IF(Utility!$G6="Yes",('Decision Table'!H15-Utility!$J6)/(Utility!$L6-Utility!$J6),IF(Utility!$G6="No",Utility!$H6*(1-EXP(Utility!$I6*('Decision Table'!H15-Utility!$J6)/(Utility!$L6-Utility!$J6))),"")))</f>
      </c>
      <c r="H15" s="13">
        <f>IF(ISBLANK('Decision Table'!I15),"",IF(Utility!$G6="Yes",('Decision Table'!I15-Utility!$J6)/(Utility!$L6-Utility!$J6),IF(Utility!$G6="No",Utility!$H6*(1-EXP(Utility!$I6*('Decision Table'!I15-Utility!$J6)/(Utility!$L6-Utility!$J6))),"")))</f>
      </c>
      <c r="I15" s="13">
        <f>IF(ISBLANK('Decision Table'!J15),"",IF(Utility!$G6="Yes",('Decision Table'!J15-Utility!$J6)/(Utility!$L6-Utility!$J6),IF(Utility!$G6="No",Utility!$H6*(1-EXP(Utility!$I6*('Decision Table'!J15-Utility!$J6)/(Utility!$L6-Utility!$J6))),"")))</f>
      </c>
      <c r="J15" s="13">
        <f>IF(ISBLANK('Decision Table'!K15),"",IF(Utility!$G6="Yes",('Decision Table'!K15-Utility!$J6)/(Utility!$L6-Utility!$J6),IF(Utility!$G6="No",Utility!$H6*(1-EXP(Utility!$I6*('Decision Table'!K15-Utility!$J6)/(Utility!$L6-Utility!$J6))),"")))</f>
      </c>
      <c r="K15" s="13">
        <f>IF(ISBLANK('Decision Table'!L15),"",IF(Utility!$G6="Yes",('Decision Table'!L15-Utility!$J6)/(Utility!$L6-Utility!$J6),IF(Utility!$G6="No",Utility!$H6*(1-EXP(Utility!$I6*('Decision Table'!L15-Utility!$J6)/(Utility!$L6-Utility!$J6))),"")))</f>
      </c>
      <c r="L15" s="13">
        <f>IF(ISBLANK('Decision Table'!M15),"",IF(Utility!$G6="Yes",('Decision Table'!M15-Utility!$J6)/(Utility!$L6-Utility!$J6),IF(Utility!$G6="No",Utility!$H6*(1-EXP(Utility!$I6*('Decision Table'!M15-Utility!$J6)/(Utility!$L6-Utility!$J6))),"")))</f>
      </c>
      <c r="M15" s="13">
        <f>IF(ISBLANK('Decision Table'!N15),"",IF(Utility!$G6="Yes",('Decision Table'!N15-Utility!$J6)/(Utility!$L6-Utility!$J6),IF(Utility!$G6="No",Utility!$H6*(1-EXP(Utility!$I6*('Decision Table'!N15-Utility!$J6)/(Utility!$L6-Utility!$J6))),"")))</f>
      </c>
      <c r="N15" s="14">
        <f>IF(ISBLANK('Decision Table'!O15),"",IF(Utility!$G6="Yes",('Decision Table'!O15-Utility!$J6)/(Utility!$L6-Utility!$J6),IF(Utility!$G6="No",Utility!$H6*(1-EXP(Utility!$I6*('Decision Table'!O15-Utility!$J6)/(Utility!$L6-Utility!$J6))),"")))</f>
      </c>
    </row>
    <row r="16" spans="4:14" ht="12.75">
      <c r="D16" s="11">
        <f>IF(ISBLANK('Decision Table'!C16),"",'Decision Table'!C16)</f>
      </c>
      <c r="E16" s="11">
        <f>IF(ISBLANK('Decision Table'!F16),"",IF(Utility!$G7="Yes",('Decision Table'!F16-Utility!$J7)/(Utility!$L7-Utility!$J7),IF(Utility!$G7="No",Utility!$H7*(1-EXP(Utility!$I7*('Decision Table'!F16-Utility!$J7)/(Utility!$L7-Utility!$J7))),"")))</f>
      </c>
      <c r="F16" s="11">
        <f>IF(ISBLANK('Decision Table'!G16),"",IF(Utility!$G7="Yes",('Decision Table'!G16-Utility!$J7)/(Utility!$L7-Utility!$J7),IF(Utility!$G7="No",Utility!$H7*(1-EXP(Utility!$I7*('Decision Table'!G16-Utility!$J7)/(Utility!$L7-Utility!$J7))),"")))</f>
      </c>
      <c r="G16" s="11">
        <f>IF(ISBLANK('Decision Table'!H16),"",IF(Utility!$G7="Yes",('Decision Table'!H16-Utility!$J7)/(Utility!$L7-Utility!$J7),IF(Utility!$G7="No",Utility!$H7*(1-EXP(Utility!$I7*('Decision Table'!H16-Utility!$J7)/(Utility!$L7-Utility!$J7))),"")))</f>
      </c>
      <c r="H16" s="11">
        <f>IF(ISBLANK('Decision Table'!I16),"",IF(Utility!$G7="Yes",('Decision Table'!I16-Utility!$J7)/(Utility!$L7-Utility!$J7),IF(Utility!$G7="No",Utility!$H7*(1-EXP(Utility!$I7*('Decision Table'!I16-Utility!$J7)/(Utility!$L7-Utility!$J7))),"")))</f>
      </c>
      <c r="I16" s="11">
        <f>IF(ISBLANK('Decision Table'!J16),"",IF(Utility!$G7="Yes",('Decision Table'!J16-Utility!$J7)/(Utility!$L7-Utility!$J7),IF(Utility!$G7="No",Utility!$H7*(1-EXP(Utility!$I7*('Decision Table'!J16-Utility!$J7)/(Utility!$L7-Utility!$J7))),"")))</f>
      </c>
      <c r="J16" s="11">
        <f>IF(ISBLANK('Decision Table'!K16),"",IF(Utility!$G7="Yes",('Decision Table'!K16-Utility!$J7)/(Utility!$L7-Utility!$J7),IF(Utility!$G7="No",Utility!$H7*(1-EXP(Utility!$I7*('Decision Table'!K16-Utility!$J7)/(Utility!$L7-Utility!$J7))),"")))</f>
      </c>
      <c r="K16" s="11">
        <f>IF(ISBLANK('Decision Table'!L16),"",IF(Utility!$G7="Yes",('Decision Table'!L16-Utility!$J7)/(Utility!$L7-Utility!$J7),IF(Utility!$G7="No",Utility!$H7*(1-EXP(Utility!$I7*('Decision Table'!L16-Utility!$J7)/(Utility!$L7-Utility!$J7))),"")))</f>
      </c>
      <c r="L16" s="11">
        <f>IF(ISBLANK('Decision Table'!M16),"",IF(Utility!$G7="Yes",('Decision Table'!M16-Utility!$J7)/(Utility!$L7-Utility!$J7),IF(Utility!$G7="No",Utility!$H7*(1-EXP(Utility!$I7*('Decision Table'!M16-Utility!$J7)/(Utility!$L7-Utility!$J7))),"")))</f>
      </c>
      <c r="M16" s="11">
        <f>IF(ISBLANK('Decision Table'!N16),"",IF(Utility!$G7="Yes",('Decision Table'!N16-Utility!$J7)/(Utility!$L7-Utility!$J7),IF(Utility!$G7="No",Utility!$H7*(1-EXP(Utility!$I7*('Decision Table'!N16-Utility!$J7)/(Utility!$L7-Utility!$J7))),"")))</f>
      </c>
      <c r="N16" s="11">
        <f>IF(ISBLANK('Decision Table'!O16),"",IF(Utility!$G7="Yes",('Decision Table'!O16-Utility!$J7)/(Utility!$L7-Utility!$J7),IF(Utility!$G7="No",Utility!$H7*(1-EXP(Utility!$I7*('Decision Table'!O16-Utility!$J7)/(Utility!$L7-Utility!$J7))),"")))</f>
      </c>
    </row>
    <row r="17" spans="4:14" ht="12.75">
      <c r="D17" s="12">
        <f>IF(ISBLANK('Decision Table'!C17),"",'Decision Table'!C17)</f>
      </c>
      <c r="E17" s="13">
        <f>IF(ISBLANK('Decision Table'!F17),"",IF(Utility!$G8="Yes",('Decision Table'!F17-Utility!$J8)/(Utility!$L8-Utility!$J8),IF(Utility!$G8="No",Utility!$H8*(1-EXP(Utility!$I8*('Decision Table'!F17-Utility!$J8)/(Utility!$L8-Utility!$J8))),"")))</f>
      </c>
      <c r="F17" s="13">
        <f>IF(ISBLANK('Decision Table'!G17),"",IF(Utility!$G8="Yes",('Decision Table'!G17-Utility!$J8)/(Utility!$L8-Utility!$J8),IF(Utility!$G8="No",Utility!$H8*(1-EXP(Utility!$I8*('Decision Table'!G17-Utility!$J8)/(Utility!$L8-Utility!$J8))),"")))</f>
      </c>
      <c r="G17" s="13">
        <f>IF(ISBLANK('Decision Table'!H17),"",IF(Utility!$G8="Yes",('Decision Table'!H17-Utility!$J8)/(Utility!$L8-Utility!$J8),IF(Utility!$G8="No",Utility!$H8*(1-EXP(Utility!$I8*('Decision Table'!H17-Utility!$J8)/(Utility!$L8-Utility!$J8))),"")))</f>
      </c>
      <c r="H17" s="13">
        <f>IF(ISBLANK('Decision Table'!I17),"",IF(Utility!$G8="Yes",('Decision Table'!I17-Utility!$J8)/(Utility!$L8-Utility!$J8),IF(Utility!$G8="No",Utility!$H8*(1-EXP(Utility!$I8*('Decision Table'!I17-Utility!$J8)/(Utility!$L8-Utility!$J8))),"")))</f>
      </c>
      <c r="I17" s="13">
        <f>IF(ISBLANK('Decision Table'!J17),"",IF(Utility!$G8="Yes",('Decision Table'!J17-Utility!$J8)/(Utility!$L8-Utility!$J8),IF(Utility!$G8="No",Utility!$H8*(1-EXP(Utility!$I8*('Decision Table'!J17-Utility!$J8)/(Utility!$L8-Utility!$J8))),"")))</f>
      </c>
      <c r="J17" s="13">
        <f>IF(ISBLANK('Decision Table'!K17),"",IF(Utility!$G8="Yes",('Decision Table'!K17-Utility!$J8)/(Utility!$L8-Utility!$J8),IF(Utility!$G8="No",Utility!$H8*(1-EXP(Utility!$I8*('Decision Table'!K17-Utility!$J8)/(Utility!$L8-Utility!$J8))),"")))</f>
      </c>
      <c r="K17" s="13">
        <f>IF(ISBLANK('Decision Table'!L17),"",IF(Utility!$G8="Yes",('Decision Table'!L17-Utility!$J8)/(Utility!$L8-Utility!$J8),IF(Utility!$G8="No",Utility!$H8*(1-EXP(Utility!$I8*('Decision Table'!L17-Utility!$J8)/(Utility!$L8-Utility!$J8))),"")))</f>
      </c>
      <c r="L17" s="13">
        <f>IF(ISBLANK('Decision Table'!M17),"",IF(Utility!$G8="Yes",('Decision Table'!M17-Utility!$J8)/(Utility!$L8-Utility!$J8),IF(Utility!$G8="No",Utility!$H8*(1-EXP(Utility!$I8*('Decision Table'!M17-Utility!$J8)/(Utility!$L8-Utility!$J8))),"")))</f>
      </c>
      <c r="M17" s="13">
        <f>IF(ISBLANK('Decision Table'!N17),"",IF(Utility!$G8="Yes",('Decision Table'!N17-Utility!$J8)/(Utility!$L8-Utility!$J8),IF(Utility!$G8="No",Utility!$H8*(1-EXP(Utility!$I8*('Decision Table'!N17-Utility!$J8)/(Utility!$L8-Utility!$J8))),"")))</f>
      </c>
      <c r="N17" s="14">
        <f>IF(ISBLANK('Decision Table'!O17),"",IF(Utility!$G8="Yes",('Decision Table'!O17-Utility!$J8)/(Utility!$L8-Utility!$J8),IF(Utility!$G8="No",Utility!$H8*(1-EXP(Utility!$I8*('Decision Table'!O17-Utility!$J8)/(Utility!$L8-Utility!$J8))),"")))</f>
      </c>
    </row>
    <row r="18" spans="4:14" ht="12.75">
      <c r="D18" s="11">
        <f>IF(ISBLANK('Decision Table'!C18),"",'Decision Table'!C18)</f>
      </c>
      <c r="E18" s="11">
        <f>IF(ISBLANK('Decision Table'!F18),"",IF(Utility!$G9="Yes",('Decision Table'!F18-Utility!$J9)/(Utility!$L9-Utility!$J9),IF(Utility!$G9="No",Utility!$H9*(1-EXP(Utility!$I9*('Decision Table'!F18-Utility!$J9)/(Utility!$L9-Utility!$J9))),"")))</f>
      </c>
      <c r="F18" s="11">
        <f>IF(ISBLANK('Decision Table'!G18),"",IF(Utility!$G9="Yes",('Decision Table'!G18-Utility!$J9)/(Utility!$L9-Utility!$J9),IF(Utility!$G9="No",Utility!$H9*(1-EXP(Utility!$I9*('Decision Table'!G18-Utility!$J9)/(Utility!$L9-Utility!$J9))),"")))</f>
      </c>
      <c r="G18" s="11">
        <f>IF(ISBLANK('Decision Table'!H18),"",IF(Utility!$G9="Yes",('Decision Table'!H18-Utility!$J9)/(Utility!$L9-Utility!$J9),IF(Utility!$G9="No",Utility!$H9*(1-EXP(Utility!$I9*('Decision Table'!H18-Utility!$J9)/(Utility!$L9-Utility!$J9))),"")))</f>
      </c>
      <c r="H18" s="11">
        <f>IF(ISBLANK('Decision Table'!I18),"",IF(Utility!$G9="Yes",('Decision Table'!I18-Utility!$J9)/(Utility!$L9-Utility!$J9),IF(Utility!$G9="No",Utility!$H9*(1-EXP(Utility!$I9*('Decision Table'!I18-Utility!$J9)/(Utility!$L9-Utility!$J9))),"")))</f>
      </c>
      <c r="I18" s="11">
        <f>IF(ISBLANK('Decision Table'!J18),"",IF(Utility!$G9="Yes",('Decision Table'!J18-Utility!$J9)/(Utility!$L9-Utility!$J9),IF(Utility!$G9="No",Utility!$H9*(1-EXP(Utility!$I9*('Decision Table'!J18-Utility!$J9)/(Utility!$L9-Utility!$J9))),"")))</f>
      </c>
      <c r="J18" s="11">
        <f>IF(ISBLANK('Decision Table'!K18),"",IF(Utility!$G9="Yes",('Decision Table'!K18-Utility!$J9)/(Utility!$L9-Utility!$J9),IF(Utility!$G9="No",Utility!$H9*(1-EXP(Utility!$I9*('Decision Table'!K18-Utility!$J9)/(Utility!$L9-Utility!$J9))),"")))</f>
      </c>
      <c r="K18" s="11">
        <f>IF(ISBLANK('Decision Table'!L18),"",IF(Utility!$G9="Yes",('Decision Table'!L18-Utility!$J9)/(Utility!$L9-Utility!$J9),IF(Utility!$G9="No",Utility!$H9*(1-EXP(Utility!$I9*('Decision Table'!L18-Utility!$J9)/(Utility!$L9-Utility!$J9))),"")))</f>
      </c>
      <c r="L18" s="11">
        <f>IF(ISBLANK('Decision Table'!M18),"",IF(Utility!$G9="Yes",('Decision Table'!M18-Utility!$J9)/(Utility!$L9-Utility!$J9),IF(Utility!$G9="No",Utility!$H9*(1-EXP(Utility!$I9*('Decision Table'!M18-Utility!$J9)/(Utility!$L9-Utility!$J9))),"")))</f>
      </c>
      <c r="M18" s="11">
        <f>IF(ISBLANK('Decision Table'!N18),"",IF(Utility!$G9="Yes",('Decision Table'!N18-Utility!$J9)/(Utility!$L9-Utility!$J9),IF(Utility!$G9="No",Utility!$H9*(1-EXP(Utility!$I9*('Decision Table'!N18-Utility!$J9)/(Utility!$L9-Utility!$J9))),"")))</f>
      </c>
      <c r="N18" s="11">
        <f>IF(ISBLANK('Decision Table'!O18),"",IF(Utility!$G9="Yes",('Decision Table'!O18-Utility!$J9)/(Utility!$L9-Utility!$J9),IF(Utility!$G9="No",Utility!$H9*(1-EXP(Utility!$I9*('Decision Table'!O18-Utility!$J9)/(Utility!$L9-Utility!$J9))),"")))</f>
      </c>
    </row>
    <row r="19" spans="4:14" ht="12.75">
      <c r="D19" s="12">
        <f>IF(ISBLANK('Decision Table'!C19),"",'Decision Table'!C19)</f>
      </c>
      <c r="E19" s="13">
        <f>IF(ISBLANK('Decision Table'!F19),"",IF(Utility!$G10="Yes",('Decision Table'!F19-Utility!$J10)/(Utility!$L10-Utility!$J10),IF(Utility!$G10="No",Utility!$H10*(1-EXP(Utility!$I10*('Decision Table'!F19-Utility!$J10)/(Utility!$L10-Utility!$J10))),"")))</f>
      </c>
      <c r="F19" s="13">
        <f>IF(ISBLANK('Decision Table'!G19),"",IF(Utility!$G10="Yes",('Decision Table'!G19-Utility!$J10)/(Utility!$L10-Utility!$J10),IF(Utility!$G10="No",Utility!$H10*(1-EXP(Utility!$I10*('Decision Table'!G19-Utility!$J10)/(Utility!$L10-Utility!$J10))),"")))</f>
      </c>
      <c r="G19" s="13">
        <f>IF(ISBLANK('Decision Table'!H19),"",IF(Utility!$G10="Yes",('Decision Table'!H19-Utility!$J10)/(Utility!$L10-Utility!$J10),IF(Utility!$G10="No",Utility!$H10*(1-EXP(Utility!$I10*('Decision Table'!H19-Utility!$J10)/(Utility!$L10-Utility!$J10))),"")))</f>
      </c>
      <c r="H19" s="13">
        <f>IF(ISBLANK('Decision Table'!I19),"",IF(Utility!$G10="Yes",('Decision Table'!I19-Utility!$J10)/(Utility!$L10-Utility!$J10),IF(Utility!$G10="No",Utility!$H10*(1-EXP(Utility!$I10*('Decision Table'!I19-Utility!$J10)/(Utility!$L10-Utility!$J10))),"")))</f>
      </c>
      <c r="I19" s="13">
        <f>IF(ISBLANK('Decision Table'!J19),"",IF(Utility!$G10="Yes",('Decision Table'!J19-Utility!$J10)/(Utility!$L10-Utility!$J10),IF(Utility!$G10="No",Utility!$H10*(1-EXP(Utility!$I10*('Decision Table'!J19-Utility!$J10)/(Utility!$L10-Utility!$J10))),"")))</f>
      </c>
      <c r="J19" s="13">
        <f>IF(ISBLANK('Decision Table'!K19),"",IF(Utility!$G10="Yes",('Decision Table'!K19-Utility!$J10)/(Utility!$L10-Utility!$J10),IF(Utility!$G10="No",Utility!$H10*(1-EXP(Utility!$I10*('Decision Table'!K19-Utility!$J10)/(Utility!$L10-Utility!$J10))),"")))</f>
      </c>
      <c r="K19" s="13">
        <f>IF(ISBLANK('Decision Table'!L19),"",IF(Utility!$G10="Yes",('Decision Table'!L19-Utility!$J10)/(Utility!$L10-Utility!$J10),IF(Utility!$G10="No",Utility!$H10*(1-EXP(Utility!$I10*('Decision Table'!L19-Utility!$J10)/(Utility!$L10-Utility!$J10))),"")))</f>
      </c>
      <c r="L19" s="13">
        <f>IF(ISBLANK('Decision Table'!M19),"",IF(Utility!$G10="Yes",('Decision Table'!M19-Utility!$J10)/(Utility!$L10-Utility!$J10),IF(Utility!$G10="No",Utility!$H10*(1-EXP(Utility!$I10*('Decision Table'!M19-Utility!$J10)/(Utility!$L10-Utility!$J10))),"")))</f>
      </c>
      <c r="M19" s="13">
        <f>IF(ISBLANK('Decision Table'!N19),"",IF(Utility!$G10="Yes",('Decision Table'!N19-Utility!$J10)/(Utility!$L10-Utility!$J10),IF(Utility!$G10="No",Utility!$H10*(1-EXP(Utility!$I10*('Decision Table'!N19-Utility!$J10)/(Utility!$L10-Utility!$J10))),"")))</f>
      </c>
      <c r="N19" s="14">
        <f>IF(ISBLANK('Decision Table'!O19),"",IF(Utility!$G10="Yes",('Decision Table'!O19-Utility!$J10)/(Utility!$L10-Utility!$J10),IF(Utility!$G10="No",Utility!$H10*(1-EXP(Utility!$I10*('Decision Table'!O19-Utility!$J10)/(Utility!$L10-Utility!$J10))),"")))</f>
      </c>
    </row>
    <row r="20" spans="4:14" ht="12.75">
      <c r="D20" s="11">
        <f>IF(ISBLANK('Decision Table'!C20),"",'Decision Table'!C20)</f>
      </c>
      <c r="E20" s="11">
        <f>IF(ISBLANK('Decision Table'!F20),"",IF(Utility!$G11="Yes",('Decision Table'!F20-Utility!$J11)/(Utility!$L11-Utility!$J11),IF(Utility!$G11="No",Utility!$H11*(1-EXP(Utility!$I11*('Decision Table'!F20-Utility!$J11)/(Utility!$L11-Utility!$J11))),"")))</f>
      </c>
      <c r="F20" s="11">
        <f>IF(ISBLANK('Decision Table'!G20),"",IF(Utility!$G11="Yes",('Decision Table'!G20-Utility!$J11)/(Utility!$L11-Utility!$J11),IF(Utility!$G11="No",Utility!$H11*(1-EXP(Utility!$I11*('Decision Table'!G20-Utility!$J11)/(Utility!$L11-Utility!$J11))),"")))</f>
      </c>
      <c r="G20" s="11">
        <f>IF(ISBLANK('Decision Table'!H20),"",IF(Utility!$G11="Yes",('Decision Table'!H20-Utility!$J11)/(Utility!$L11-Utility!$J11),IF(Utility!$G11="No",Utility!$H11*(1-EXP(Utility!$I11*('Decision Table'!H20-Utility!$J11)/(Utility!$L11-Utility!$J11))),"")))</f>
      </c>
      <c r="H20" s="11">
        <f>IF(ISBLANK('Decision Table'!I20),"",IF(Utility!$G11="Yes",('Decision Table'!I20-Utility!$J11)/(Utility!$L11-Utility!$J11),IF(Utility!$G11="No",Utility!$H11*(1-EXP(Utility!$I11*('Decision Table'!I20-Utility!$J11)/(Utility!$L11-Utility!$J11))),"")))</f>
      </c>
      <c r="I20" s="11">
        <f>IF(ISBLANK('Decision Table'!J20),"",IF(Utility!$G11="Yes",('Decision Table'!J20-Utility!$J11)/(Utility!$L11-Utility!$J11),IF(Utility!$G11="No",Utility!$H11*(1-EXP(Utility!$I11*('Decision Table'!J20-Utility!$J11)/(Utility!$L11-Utility!$J11))),"")))</f>
      </c>
      <c r="J20" s="11">
        <f>IF(ISBLANK('Decision Table'!K20),"",IF(Utility!$G11="Yes",('Decision Table'!K20-Utility!$J11)/(Utility!$L11-Utility!$J11),IF(Utility!$G11="No",Utility!$H11*(1-EXP(Utility!$I11*('Decision Table'!K20-Utility!$J11)/(Utility!$L11-Utility!$J11))),"")))</f>
      </c>
      <c r="K20" s="11">
        <f>IF(ISBLANK('Decision Table'!L20),"",IF(Utility!$G11="Yes",('Decision Table'!L20-Utility!$J11)/(Utility!$L11-Utility!$J11),IF(Utility!$G11="No",Utility!$H11*(1-EXP(Utility!$I11*('Decision Table'!L20-Utility!$J11)/(Utility!$L11-Utility!$J11))),"")))</f>
      </c>
      <c r="L20" s="11">
        <f>IF(ISBLANK('Decision Table'!M20),"",IF(Utility!$G11="Yes",('Decision Table'!M20-Utility!$J11)/(Utility!$L11-Utility!$J11),IF(Utility!$G11="No",Utility!$H11*(1-EXP(Utility!$I11*('Decision Table'!M20-Utility!$J11)/(Utility!$L11-Utility!$J11))),"")))</f>
      </c>
      <c r="M20" s="11">
        <f>IF(ISBLANK('Decision Table'!N20),"",IF(Utility!$G11="Yes",('Decision Table'!N20-Utility!$J11)/(Utility!$L11-Utility!$J11),IF(Utility!$G11="No",Utility!$H11*(1-EXP(Utility!$I11*('Decision Table'!N20-Utility!$J11)/(Utility!$L11-Utility!$J11))),"")))</f>
      </c>
      <c r="N20" s="11">
        <f>IF(ISBLANK('Decision Table'!O20),"",IF(Utility!$G11="Yes",('Decision Table'!O20-Utility!$J11)/(Utility!$L11-Utility!$J11),IF(Utility!$G11="No",Utility!$H11*(1-EXP(Utility!$I11*('Decision Table'!O20-Utility!$J11)/(Utility!$L11-Utility!$J11))),"")))</f>
      </c>
    </row>
    <row r="21" spans="4:14" ht="12.75">
      <c r="D21" s="12">
        <f>IF(ISBLANK('Decision Table'!C21),"",'Decision Table'!C21)</f>
      </c>
      <c r="E21" s="13">
        <f>IF(ISBLANK('Decision Table'!F21),"",IF(Utility!$G12="Yes",('Decision Table'!F21-Utility!$J12)/(Utility!$L12-Utility!$J12),IF(Utility!$G12="No",Utility!$H12*(1-EXP(Utility!$I12*('Decision Table'!F21-Utility!$J12)/(Utility!$L12-Utility!$J12))),"")))</f>
      </c>
      <c r="F21" s="13">
        <f>IF(ISBLANK('Decision Table'!G21),"",IF(Utility!$G12="Yes",('Decision Table'!G21-Utility!$J12)/(Utility!$L12-Utility!$J12),IF(Utility!$G12="No",Utility!$H12*(1-EXP(Utility!$I12*('Decision Table'!G21-Utility!$J12)/(Utility!$L12-Utility!$J12))),"")))</f>
      </c>
      <c r="G21" s="13">
        <f>IF(ISBLANK('Decision Table'!H21),"",IF(Utility!$G12="Yes",('Decision Table'!H21-Utility!$J12)/(Utility!$L12-Utility!$J12),IF(Utility!$G12="No",Utility!$H12*(1-EXP(Utility!$I12*('Decision Table'!H21-Utility!$J12)/(Utility!$L12-Utility!$J12))),"")))</f>
      </c>
      <c r="H21" s="13">
        <f>IF(ISBLANK('Decision Table'!I21),"",IF(Utility!$G12="Yes",('Decision Table'!I21-Utility!$J12)/(Utility!$L12-Utility!$J12),IF(Utility!$G12="No",Utility!$H12*(1-EXP(Utility!$I12*('Decision Table'!I21-Utility!$J12)/(Utility!$L12-Utility!$J12))),"")))</f>
      </c>
      <c r="I21" s="13">
        <f>IF(ISBLANK('Decision Table'!J21),"",IF(Utility!$G12="Yes",('Decision Table'!J21-Utility!$J12)/(Utility!$L12-Utility!$J12),IF(Utility!$G12="No",Utility!$H12*(1-EXP(Utility!$I12*('Decision Table'!J21-Utility!$J12)/(Utility!$L12-Utility!$J12))),"")))</f>
      </c>
      <c r="J21" s="13">
        <f>IF(ISBLANK('Decision Table'!K21),"",IF(Utility!$G12="Yes",('Decision Table'!K21-Utility!$J12)/(Utility!$L12-Utility!$J12),IF(Utility!$G12="No",Utility!$H12*(1-EXP(Utility!$I12*('Decision Table'!K21-Utility!$J12)/(Utility!$L12-Utility!$J12))),"")))</f>
      </c>
      <c r="K21" s="13">
        <f>IF(ISBLANK('Decision Table'!L21),"",IF(Utility!$G12="Yes",('Decision Table'!L21-Utility!$J12)/(Utility!$L12-Utility!$J12),IF(Utility!$G12="No",Utility!$H12*(1-EXP(Utility!$I12*('Decision Table'!L21-Utility!$J12)/(Utility!$L12-Utility!$J12))),"")))</f>
      </c>
      <c r="L21" s="13">
        <f>IF(ISBLANK('Decision Table'!M21),"",IF(Utility!$G12="Yes",('Decision Table'!M21-Utility!$J12)/(Utility!$L12-Utility!$J12),IF(Utility!$G12="No",Utility!$H12*(1-EXP(Utility!$I12*('Decision Table'!M21-Utility!$J12)/(Utility!$L12-Utility!$J12))),"")))</f>
      </c>
      <c r="M21" s="13">
        <f>IF(ISBLANK('Decision Table'!N21),"",IF(Utility!$G12="Yes",('Decision Table'!N21-Utility!$J12)/(Utility!$L12-Utility!$J12),IF(Utility!$G12="No",Utility!$H12*(1-EXP(Utility!$I12*('Decision Table'!N21-Utility!$J12)/(Utility!$L12-Utility!$J12))),"")))</f>
      </c>
      <c r="N21" s="14">
        <f>IF(ISBLANK('Decision Table'!O21),"",IF(Utility!$G12="Yes",('Decision Table'!O21-Utility!$J12)/(Utility!$L12-Utility!$J12),IF(Utility!$G12="No",Utility!$H12*(1-EXP(Utility!$I12*('Decision Table'!O21-Utility!$J12)/(Utility!$L12-Utility!$J12))),"")))</f>
      </c>
    </row>
    <row r="22" spans="4:14" ht="12.75">
      <c r="D22" s="11">
        <f>IF(ISBLANK('Decision Table'!C22),"",'Decision Table'!C22)</f>
      </c>
      <c r="E22" s="11">
        <f>IF(ISBLANK('Decision Table'!F22),"",IF(Utility!$G13="Yes",('Decision Table'!F22-Utility!$J13)/(Utility!$L13-Utility!$J13),IF(Utility!$G13="No",Utility!$H13*(1-EXP(Utility!$I13*('Decision Table'!F22-Utility!$J13)/(Utility!$L13-Utility!$J13))),"")))</f>
      </c>
      <c r="F22" s="11">
        <f>IF(ISBLANK('Decision Table'!G22),"",IF(Utility!$G13="Yes",('Decision Table'!G22-Utility!$J13)/(Utility!$L13-Utility!$J13),IF(Utility!$G13="No",Utility!$H13*(1-EXP(Utility!$I13*('Decision Table'!G22-Utility!$J13)/(Utility!$L13-Utility!$J13))),"")))</f>
      </c>
      <c r="G22" s="11">
        <f>IF(ISBLANK('Decision Table'!H22),"",IF(Utility!$G13="Yes",('Decision Table'!H22-Utility!$J13)/(Utility!$L13-Utility!$J13),IF(Utility!$G13="No",Utility!$H13*(1-EXP(Utility!$I13*('Decision Table'!H22-Utility!$J13)/(Utility!$L13-Utility!$J13))),"")))</f>
      </c>
      <c r="H22" s="11">
        <f>IF(ISBLANK('Decision Table'!I22),"",IF(Utility!$G13="Yes",('Decision Table'!I22-Utility!$J13)/(Utility!$L13-Utility!$J13),IF(Utility!$G13="No",Utility!$H13*(1-EXP(Utility!$I13*('Decision Table'!I22-Utility!$J13)/(Utility!$L13-Utility!$J13))),"")))</f>
      </c>
      <c r="I22" s="11">
        <f>IF(ISBLANK('Decision Table'!J22),"",IF(Utility!$G13="Yes",('Decision Table'!J22-Utility!$J13)/(Utility!$L13-Utility!$J13),IF(Utility!$G13="No",Utility!$H13*(1-EXP(Utility!$I13*('Decision Table'!J22-Utility!$J13)/(Utility!$L13-Utility!$J13))),"")))</f>
      </c>
      <c r="J22" s="11">
        <f>IF(ISBLANK('Decision Table'!K22),"",IF(Utility!$G13="Yes",('Decision Table'!K22-Utility!$J13)/(Utility!$L13-Utility!$J13),IF(Utility!$G13="No",Utility!$H13*(1-EXP(Utility!$I13*('Decision Table'!K22-Utility!$J13)/(Utility!$L13-Utility!$J13))),"")))</f>
      </c>
      <c r="K22" s="11">
        <f>IF(ISBLANK('Decision Table'!L22),"",IF(Utility!$G13="Yes",('Decision Table'!L22-Utility!$J13)/(Utility!$L13-Utility!$J13),IF(Utility!$G13="No",Utility!$H13*(1-EXP(Utility!$I13*('Decision Table'!L22-Utility!$J13)/(Utility!$L13-Utility!$J13))),"")))</f>
      </c>
      <c r="L22" s="11">
        <f>IF(ISBLANK('Decision Table'!M22),"",IF(Utility!$G13="Yes",('Decision Table'!M22-Utility!$J13)/(Utility!$L13-Utility!$J13),IF(Utility!$G13="No",Utility!$H13*(1-EXP(Utility!$I13*('Decision Table'!M22-Utility!$J13)/(Utility!$L13-Utility!$J13))),"")))</f>
      </c>
      <c r="M22" s="11">
        <f>IF(ISBLANK('Decision Table'!N22),"",IF(Utility!$G13="Yes",('Decision Table'!N22-Utility!$J13)/(Utility!$L13-Utility!$J13),IF(Utility!$G13="No",Utility!$H13*(1-EXP(Utility!$I13*('Decision Table'!N22-Utility!$J13)/(Utility!$L13-Utility!$J13))),"")))</f>
      </c>
      <c r="N22" s="11">
        <f>IF(ISBLANK('Decision Table'!O22),"",IF(Utility!$G13="Yes",('Decision Table'!O22-Utility!$J13)/(Utility!$L13-Utility!$J13),IF(Utility!$G13="No",Utility!$H13*(1-EXP(Utility!$I13*('Decision Table'!O22-Utility!$J13)/(Utility!$L13-Utility!$J13))),"")))</f>
      </c>
    </row>
    <row r="23" spans="4:14" ht="12.75">
      <c r="D23" s="12">
        <f>IF(ISBLANK('Decision Table'!C23),"",'Decision Table'!C23)</f>
      </c>
      <c r="E23" s="13">
        <f>IF(ISBLANK('Decision Table'!F23),"",IF(Utility!$G14="Yes",('Decision Table'!F23-Utility!$J14)/(Utility!$L14-Utility!$J14),IF(Utility!$G14="No",Utility!$H14*(1-EXP(Utility!$I14*('Decision Table'!F23-Utility!$J14)/(Utility!$L14-Utility!$J14))),"")))</f>
      </c>
      <c r="F23" s="13">
        <f>IF(ISBLANK('Decision Table'!G23),"",IF(Utility!$G14="Yes",('Decision Table'!G23-Utility!$J14)/(Utility!$L14-Utility!$J14),IF(Utility!$G14="No",Utility!$H14*(1-EXP(Utility!$I14*('Decision Table'!G23-Utility!$J14)/(Utility!$L14-Utility!$J14))),"")))</f>
      </c>
      <c r="G23" s="13">
        <f>IF(ISBLANK('Decision Table'!H23),"",IF(Utility!$G14="Yes",('Decision Table'!H23-Utility!$J14)/(Utility!$L14-Utility!$J14),IF(Utility!$G14="No",Utility!$H14*(1-EXP(Utility!$I14*('Decision Table'!H23-Utility!$J14)/(Utility!$L14-Utility!$J14))),"")))</f>
      </c>
      <c r="H23" s="13">
        <f>IF(ISBLANK('Decision Table'!I23),"",IF(Utility!$G14="Yes",('Decision Table'!I23-Utility!$J14)/(Utility!$L14-Utility!$J14),IF(Utility!$G14="No",Utility!$H14*(1-EXP(Utility!$I14*('Decision Table'!I23-Utility!$J14)/(Utility!$L14-Utility!$J14))),"")))</f>
      </c>
      <c r="I23" s="13">
        <f>IF(ISBLANK('Decision Table'!J23),"",IF(Utility!$G14="Yes",('Decision Table'!J23-Utility!$J14)/(Utility!$L14-Utility!$J14),IF(Utility!$G14="No",Utility!$H14*(1-EXP(Utility!$I14*('Decision Table'!J23-Utility!$J14)/(Utility!$L14-Utility!$J14))),"")))</f>
      </c>
      <c r="J23" s="13">
        <f>IF(ISBLANK('Decision Table'!K23),"",IF(Utility!$G14="Yes",('Decision Table'!K23-Utility!$J14)/(Utility!$L14-Utility!$J14),IF(Utility!$G14="No",Utility!$H14*(1-EXP(Utility!$I14*('Decision Table'!K23-Utility!$J14)/(Utility!$L14-Utility!$J14))),"")))</f>
      </c>
      <c r="K23" s="13">
        <f>IF(ISBLANK('Decision Table'!L23),"",IF(Utility!$G14="Yes",('Decision Table'!L23-Utility!$J14)/(Utility!$L14-Utility!$J14),IF(Utility!$G14="No",Utility!$H14*(1-EXP(Utility!$I14*('Decision Table'!L23-Utility!$J14)/(Utility!$L14-Utility!$J14))),"")))</f>
      </c>
      <c r="L23" s="13">
        <f>IF(ISBLANK('Decision Table'!M23),"",IF(Utility!$G14="Yes",('Decision Table'!M23-Utility!$J14)/(Utility!$L14-Utility!$J14),IF(Utility!$G14="No",Utility!$H14*(1-EXP(Utility!$I14*('Decision Table'!M23-Utility!$J14)/(Utility!$L14-Utility!$J14))),"")))</f>
      </c>
      <c r="M23" s="13">
        <f>IF(ISBLANK('Decision Table'!N23),"",IF(Utility!$G14="Yes",('Decision Table'!N23-Utility!$J14)/(Utility!$L14-Utility!$J14),IF(Utility!$G14="No",Utility!$H14*(1-EXP(Utility!$I14*('Decision Table'!N23-Utility!$J14)/(Utility!$L14-Utility!$J14))),"")))</f>
      </c>
      <c r="N23" s="14">
        <f>IF(ISBLANK('Decision Table'!O23),"",IF(Utility!$G14="Yes",('Decision Table'!O23-Utility!$J14)/(Utility!$L14-Utility!$J14),IF(Utility!$G14="No",Utility!$H14*(1-EXP(Utility!$I14*('Decision Table'!O23-Utility!$J14)/(Utility!$L14-Utility!$J14))),"")))</f>
      </c>
    </row>
    <row r="24" spans="4:14" ht="12.75">
      <c r="D24" s="11">
        <f>IF(ISBLANK('Decision Table'!C24),"",'Decision Table'!C24)</f>
      </c>
      <c r="E24" s="11">
        <f>IF(ISBLANK('Decision Table'!F24),"",IF(Utility!$G15="Yes",('Decision Table'!F24-Utility!$J15)/(Utility!$L15-Utility!$J15),IF(Utility!$G15="No",Utility!$H15*(1-EXP(Utility!$I15*('Decision Table'!F24-Utility!$J15)/(Utility!$L15-Utility!$J15))),"")))</f>
      </c>
      <c r="F24" s="11">
        <f>IF(ISBLANK('Decision Table'!G24),"",IF(Utility!$G15="Yes",('Decision Table'!G24-Utility!$J15)/(Utility!$L15-Utility!$J15),IF(Utility!$G15="No",Utility!$H15*(1-EXP(Utility!$I15*('Decision Table'!G24-Utility!$J15)/(Utility!$L15-Utility!$J15))),"")))</f>
      </c>
      <c r="G24" s="11">
        <f>IF(ISBLANK('Decision Table'!H24),"",IF(Utility!$G15="Yes",('Decision Table'!H24-Utility!$J15)/(Utility!$L15-Utility!$J15),IF(Utility!$G15="No",Utility!$H15*(1-EXP(Utility!$I15*('Decision Table'!H24-Utility!$J15)/(Utility!$L15-Utility!$J15))),"")))</f>
      </c>
      <c r="H24" s="11">
        <f>IF(ISBLANK('Decision Table'!I24),"",IF(Utility!$G15="Yes",('Decision Table'!I24-Utility!$J15)/(Utility!$L15-Utility!$J15),IF(Utility!$G15="No",Utility!$H15*(1-EXP(Utility!$I15*('Decision Table'!I24-Utility!$J15)/(Utility!$L15-Utility!$J15))),"")))</f>
      </c>
      <c r="I24" s="11">
        <f>IF(ISBLANK('Decision Table'!J24),"",IF(Utility!$G15="Yes",('Decision Table'!J24-Utility!$J15)/(Utility!$L15-Utility!$J15),IF(Utility!$G15="No",Utility!$H15*(1-EXP(Utility!$I15*('Decision Table'!J24-Utility!$J15)/(Utility!$L15-Utility!$J15))),"")))</f>
      </c>
      <c r="J24" s="11">
        <f>IF(ISBLANK('Decision Table'!K24),"",IF(Utility!$G15="Yes",('Decision Table'!K24-Utility!$J15)/(Utility!$L15-Utility!$J15),IF(Utility!$G15="No",Utility!$H15*(1-EXP(Utility!$I15*('Decision Table'!K24-Utility!$J15)/(Utility!$L15-Utility!$J15))),"")))</f>
      </c>
      <c r="K24" s="11">
        <f>IF(ISBLANK('Decision Table'!L24),"",IF(Utility!$G15="Yes",('Decision Table'!L24-Utility!$J15)/(Utility!$L15-Utility!$J15),IF(Utility!$G15="No",Utility!$H15*(1-EXP(Utility!$I15*('Decision Table'!L24-Utility!$J15)/(Utility!$L15-Utility!$J15))),"")))</f>
      </c>
      <c r="L24" s="11">
        <f>IF(ISBLANK('Decision Table'!M24),"",IF(Utility!$G15="Yes",('Decision Table'!M24-Utility!$J15)/(Utility!$L15-Utility!$J15),IF(Utility!$G15="No",Utility!$H15*(1-EXP(Utility!$I15*('Decision Table'!M24-Utility!$J15)/(Utility!$L15-Utility!$J15))),"")))</f>
      </c>
      <c r="M24" s="11">
        <f>IF(ISBLANK('Decision Table'!N24),"",IF(Utility!$G15="Yes",('Decision Table'!N24-Utility!$J15)/(Utility!$L15-Utility!$J15),IF(Utility!$G15="No",Utility!$H15*(1-EXP(Utility!$I15*('Decision Table'!N24-Utility!$J15)/(Utility!$L15-Utility!$J15))),"")))</f>
      </c>
      <c r="N24" s="11">
        <f>IF(ISBLANK('Decision Table'!O24),"",IF(Utility!$G15="Yes",('Decision Table'!O24-Utility!$J15)/(Utility!$L15-Utility!$J15),IF(Utility!$G15="No",Utility!$H15*(1-EXP(Utility!$I15*('Decision Table'!O24-Utility!$J15)/(Utility!$L15-Utility!$J15))),"")))</f>
      </c>
    </row>
    <row r="25" spans="4:14" ht="12.75">
      <c r="D25" s="12"/>
      <c r="E25" s="13">
        <f>IF(ISBLANK('Decision Table'!F25),"",IF(Utility!$G16="Yes",('Decision Table'!F25-Utility!$J16)/(Utility!$L16-Utility!$J16),IF(Utility!$G16="No",Utility!$H16*(1-EXP(Utility!$I16*('Decision Table'!F25-Utility!$J16)/(Utility!$L16-Utility!$J16))),"")))</f>
      </c>
      <c r="F25" s="13">
        <f>IF(ISBLANK('Decision Table'!G25),"",IF(Utility!$G16="Yes",('Decision Table'!G25-Utility!$J16)/(Utility!$L16-Utility!$J16),IF(Utility!$G16="No",Utility!$H16*(1-EXP(Utility!$I16*('Decision Table'!G25-Utility!$J16)/(Utility!$L16-Utility!$J16))),"")))</f>
      </c>
      <c r="G25" s="13">
        <f>IF(ISBLANK('Decision Table'!H25),"",IF(Utility!$G16="Yes",('Decision Table'!H25-Utility!$J16)/(Utility!$L16-Utility!$J16),IF(Utility!$G16="No",Utility!$H16*(1-EXP(Utility!$I16*('Decision Table'!H25-Utility!$J16)/(Utility!$L16-Utility!$J16))),"")))</f>
      </c>
      <c r="H25" s="13">
        <f>IF(ISBLANK('Decision Table'!I25),"",IF(Utility!$G16="Yes",('Decision Table'!I25-Utility!$J16)/(Utility!$L16-Utility!$J16),IF(Utility!$G16="No",Utility!$H16*(1-EXP(Utility!$I16*('Decision Table'!I25-Utility!$J16)/(Utility!$L16-Utility!$J16))),"")))</f>
      </c>
      <c r="I25" s="13">
        <f>IF(ISBLANK('Decision Table'!J25),"",IF(Utility!$G16="Yes",('Decision Table'!J25-Utility!$J16)/(Utility!$L16-Utility!$J16),IF(Utility!$G16="No",Utility!$H16*(1-EXP(Utility!$I16*('Decision Table'!J25-Utility!$J16)/(Utility!$L16-Utility!$J16))),"")))</f>
      </c>
      <c r="J25" s="13">
        <f>IF(ISBLANK('Decision Table'!K25),"",IF(Utility!$G16="Yes",('Decision Table'!K25-Utility!$J16)/(Utility!$L16-Utility!$J16),IF(Utility!$G16="No",Utility!$H16*(1-EXP(Utility!$I16*('Decision Table'!K25-Utility!$J16)/(Utility!$L16-Utility!$J16))),"")))</f>
      </c>
      <c r="K25" s="13">
        <f>IF(ISBLANK('Decision Table'!L25),"",IF(Utility!$G16="Yes",('Decision Table'!L25-Utility!$J16)/(Utility!$L16-Utility!$J16),IF(Utility!$G16="No",Utility!$H16*(1-EXP(Utility!$I16*('Decision Table'!L25-Utility!$J16)/(Utility!$L16-Utility!$J16))),"")))</f>
      </c>
      <c r="L25" s="13">
        <f>IF(ISBLANK('Decision Table'!M25),"",IF(Utility!$G16="Yes",('Decision Table'!M25-Utility!$J16)/(Utility!$L16-Utility!$J16),IF(Utility!$G16="No",Utility!$H16*(1-EXP(Utility!$I16*('Decision Table'!M25-Utility!$J16)/(Utility!$L16-Utility!$J16))),"")))</f>
      </c>
      <c r="M25" s="13">
        <f>IF(ISBLANK('Decision Table'!N25),"",IF(Utility!$G16="Yes",('Decision Table'!N25-Utility!$J16)/(Utility!$L16-Utility!$J16),IF(Utility!$G16="No",Utility!$H16*(1-EXP(Utility!$I16*('Decision Table'!N25-Utility!$J16)/(Utility!$L16-Utility!$J16))),"")))</f>
      </c>
      <c r="N25" s="14">
        <f>IF(ISBLANK('Decision Table'!O25),"",IF(Utility!$G16="Yes",('Decision Table'!O25-Utility!$J16)/(Utility!$L16-Utility!$J16),IF(Utility!$G16="No",Utility!$H16*(1-EXP(Utility!$I16*('Decision Table'!O25-Utility!$J16)/(Utility!$L16-Utility!$J16))),"")))</f>
      </c>
    </row>
  </sheetData>
  <sheetProtection sheet="1" objects="1" scenarios="1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8:N26"/>
  <sheetViews>
    <sheetView showGridLines="0" showRowColHeaders="0" workbookViewId="0" topLeftCell="D7">
      <selection activeCell="D9" sqref="D9"/>
    </sheetView>
  </sheetViews>
  <sheetFormatPr defaultColWidth="9.140625" defaultRowHeight="12.75"/>
  <cols>
    <col min="4" max="4" width="12.8515625" style="0" customWidth="1"/>
  </cols>
  <sheetData>
    <row r="8" ht="12.75">
      <c r="D8" s="4"/>
    </row>
    <row r="9" ht="12.75">
      <c r="D9" s="4" t="s">
        <v>26</v>
      </c>
    </row>
    <row r="10" spans="4:14" ht="12.75">
      <c r="D10" s="11"/>
      <c r="E10" s="15" t="str">
        <f>'Decision Table'!F10</f>
        <v>Scholar</v>
      </c>
      <c r="F10" s="15" t="str">
        <f>'Decision Table'!G10</f>
        <v>Talker</v>
      </c>
      <c r="G10" s="15" t="str">
        <f>'Decision Table'!H10</f>
        <v>Showman</v>
      </c>
      <c r="H10" s="15" t="str">
        <f>'Decision Table'!I10</f>
        <v>Worker</v>
      </c>
      <c r="I10" s="15" t="str">
        <f>'Decision Table'!J10</f>
        <v>Worst</v>
      </c>
      <c r="J10" s="15" t="str">
        <f>'Decision Table'!K10</f>
        <v>Option 6</v>
      </c>
      <c r="K10" s="15" t="str">
        <f>'Decision Table'!L10</f>
        <v>Option 7</v>
      </c>
      <c r="L10" s="15" t="str">
        <f>'Decision Table'!M10</f>
        <v>Option 8</v>
      </c>
      <c r="M10" s="15" t="str">
        <f>'Decision Table'!N10</f>
        <v>Option 9</v>
      </c>
      <c r="N10" s="15" t="str">
        <f>'Decision Table'!O10</f>
        <v>Option 10</v>
      </c>
    </row>
    <row r="11" spans="4:14" ht="12.75">
      <c r="D11" s="16" t="str">
        <f>IF(ISBLANK('Decision Table'!C11),"",'Decision Table'!C11)</f>
        <v>Hand-ins</v>
      </c>
      <c r="E11" s="12">
        <f>IF(ISBLANK('Decision Table'!F11),"",Utable!E11*'Decision Table'!$B11)</f>
        <v>0.22447872947654712</v>
      </c>
      <c r="F11" s="13">
        <f>IF(ISBLANK('Decision Table'!G11),"",Utable!F11*'Decision Table'!$B11)</f>
        <v>0.1496524863176981</v>
      </c>
      <c r="G11" s="13">
        <f>IF(ISBLANK('Decision Table'!H11),"",Utable!G11*'Decision Table'!$B11)</f>
        <v>0.07482624315884905</v>
      </c>
      <c r="H11" s="13">
        <f>IF(ISBLANK('Decision Table'!I11),"",Utable!H11*'Decision Table'!$B11)</f>
        <v>0.2993049726353962</v>
      </c>
      <c r="I11" s="13">
        <f>IF(ISBLANK('Decision Table'!J11),"",Utable!I11*'Decision Table'!$B11)</f>
        <v>0</v>
      </c>
      <c r="J11" s="13">
        <f>IF(ISBLANK('Decision Table'!K11),"",Utable!J11*'Decision Table'!$B11)</f>
        <v>0.2993049726353962</v>
      </c>
      <c r="K11" s="13">
        <f>IF(ISBLANK('Decision Table'!L11),"",Utable!K11*'Decision Table'!$B11)</f>
      </c>
      <c r="L11" s="13">
        <f>IF(ISBLANK('Decision Table'!M11),"",Utable!L11*'Decision Table'!$B11)</f>
      </c>
      <c r="M11" s="13">
        <f>IF(ISBLANK('Decision Table'!N11),"",Utable!M11*'Decision Table'!$B11)</f>
      </c>
      <c r="N11" s="14">
        <f>IF(ISBLANK('Decision Table'!O11),"",Utable!N11*'Decision Table'!$B11)</f>
      </c>
    </row>
    <row r="12" spans="4:14" ht="12.75">
      <c r="D12" s="16" t="str">
        <f>IF(ISBLANK('Decision Table'!C12),"",'Decision Table'!C12)</f>
        <v>Presentation</v>
      </c>
      <c r="E12" s="11">
        <f>IF(ISBLANK('Decision Table'!F12),"",Utable!E12*'Decision Table'!$B12)</f>
        <v>0.0501628445757647</v>
      </c>
      <c r="F12" s="11">
        <f>IF(ISBLANK('Decision Table'!G12),"",Utable!F12*'Decision Table'!$B12)</f>
        <v>0.17055367155759998</v>
      </c>
      <c r="G12" s="11">
        <f>IF(ISBLANK('Decision Table'!H12),"",Utable!G12*'Decision Table'!$B12)</f>
        <v>0.2006513783030588</v>
      </c>
      <c r="H12" s="11">
        <f>IF(ISBLANK('Decision Table'!I12),"",Utable!H12*'Decision Table'!$B12)</f>
        <v>0.12039082698183529</v>
      </c>
      <c r="I12" s="11">
        <f>IF(ISBLANK('Decision Table'!J12),"",Utable!I12*'Decision Table'!$B12)</f>
        <v>0</v>
      </c>
      <c r="J12" s="11">
        <f>IF(ISBLANK('Decision Table'!K12),"",Utable!J12*'Decision Table'!$B12)</f>
        <v>0.2006513783030588</v>
      </c>
      <c r="K12" s="11">
        <f>IF(ISBLANK('Decision Table'!L12),"",Utable!K12*'Decision Table'!$B12)</f>
      </c>
      <c r="L12" s="11">
        <f>IF(ISBLANK('Decision Table'!M12),"",Utable!L12*'Decision Table'!$B12)</f>
      </c>
      <c r="M12" s="11">
        <f>IF(ISBLANK('Decision Table'!N12),"",Utable!M12*'Decision Table'!$B12)</f>
      </c>
      <c r="N12" s="11">
        <f>IF(ISBLANK('Decision Table'!O12),"",Utable!N12*'Decision Table'!$B12)</f>
      </c>
    </row>
    <row r="13" spans="4:14" ht="12.75">
      <c r="D13" s="16" t="str">
        <f>IF(ISBLANK('Decision Table'!C13),"",'Decision Table'!C13)</f>
        <v>Participation</v>
      </c>
      <c r="E13" s="12">
        <f>IF(ISBLANK('Decision Table'!F13),"",Utable!E13*'Decision Table'!$B13)</f>
        <v>0.08979149179061875</v>
      </c>
      <c r="F13" s="13">
        <f>IF(ISBLANK('Decision Table'!G13),"",Utable!F13*'Decision Table'!$B13)</f>
        <v>0.19953664842359725</v>
      </c>
      <c r="G13" s="13">
        <f>IF(ISBLANK('Decision Table'!H13),"",Utable!G13*'Decision Table'!$B13)</f>
        <v>0.1596293187388778</v>
      </c>
      <c r="H13" s="13">
        <f>IF(ISBLANK('Decision Table'!I13),"",Utable!H13*'Decision Table'!$B13)</f>
        <v>0.06983782694825906</v>
      </c>
      <c r="I13" s="13">
        <f>IF(ISBLANK('Decision Table'!J13),"",Utable!I13*'Decision Table'!$B13)</f>
        <v>0</v>
      </c>
      <c r="J13" s="13">
        <f>IF(ISBLANK('Decision Table'!K13),"",Utable!J13*'Decision Table'!$B13)</f>
        <v>0.19953664842359725</v>
      </c>
      <c r="K13" s="13">
        <f>IF(ISBLANK('Decision Table'!L13),"",Utable!K13*'Decision Table'!$B13)</f>
      </c>
      <c r="L13" s="13">
        <f>IF(ISBLANK('Decision Table'!M13),"",Utable!L13*'Decision Table'!$B13)</f>
      </c>
      <c r="M13" s="13">
        <f>IF(ISBLANK('Decision Table'!N13),"",Utable!M13*'Decision Table'!$B13)</f>
      </c>
      <c r="N13" s="14">
        <f>IF(ISBLANK('Decision Table'!O13),"",Utable!N13*'Decision Table'!$B13)</f>
      </c>
    </row>
    <row r="14" spans="4:14" ht="12.75">
      <c r="D14" s="16" t="str">
        <f>IF(ISBLANK('Decision Table'!C14),"",'Decision Table'!C14)</f>
        <v>Quiz</v>
      </c>
      <c r="E14" s="11">
        <f>IF(ISBLANK('Decision Table'!F14),"",Utable!E14*'Decision Table'!$B14)</f>
        <v>0.3005070006379478</v>
      </c>
      <c r="F14" s="11">
        <f>IF(ISBLANK('Decision Table'!G14),"",Utable!F14*'Decision Table'!$B14)</f>
        <v>0.09015210019138432</v>
      </c>
      <c r="G14" s="11">
        <f>IF(ISBLANK('Decision Table'!H14),"",Utable!G14*'Decision Table'!$B14)</f>
        <v>0.07813182016586642</v>
      </c>
      <c r="H14" s="11">
        <f>IF(ISBLANK('Decision Table'!I14),"",Utable!H14*'Decision Table'!$B14)</f>
        <v>0.18030420038276865</v>
      </c>
      <c r="I14" s="11">
        <f>IF(ISBLANK('Decision Table'!J14),"",Utable!I14*'Decision Table'!$B14)</f>
        <v>0</v>
      </c>
      <c r="J14" s="11">
        <f>IF(ISBLANK('Decision Table'!K14),"",Utable!J14*'Decision Table'!$B14)</f>
        <v>0.3005070006379478</v>
      </c>
      <c r="K14" s="11">
        <f>IF(ISBLANK('Decision Table'!L14),"",Utable!K14*'Decision Table'!$B14)</f>
      </c>
      <c r="L14" s="11">
        <f>IF(ISBLANK('Decision Table'!M14),"",Utable!L14*'Decision Table'!$B14)</f>
      </c>
      <c r="M14" s="11">
        <f>IF(ISBLANK('Decision Table'!N14),"",Utable!M14*'Decision Table'!$B14)</f>
      </c>
      <c r="N14" s="11">
        <f>IF(ISBLANK('Decision Table'!O14),"",Utable!N14*'Decision Table'!$B14)</f>
      </c>
    </row>
    <row r="15" spans="4:14" ht="12.75">
      <c r="D15" s="16">
        <f>IF(ISBLANK('Decision Table'!C15),"",'Decision Table'!C15)</f>
      </c>
      <c r="E15" s="12">
        <f>IF(ISBLANK('Decision Table'!F15),"",Utable!E15*'Decision Table'!$B15)</f>
      </c>
      <c r="F15" s="13">
        <f>IF(ISBLANK('Decision Table'!G15),"",Utable!F15*'Decision Table'!$B15)</f>
      </c>
      <c r="G15" s="13">
        <f>IF(ISBLANK('Decision Table'!H15),"",Utable!G15*'Decision Table'!$B15)</f>
      </c>
      <c r="H15" s="13">
        <f>IF(ISBLANK('Decision Table'!I15),"",Utable!H15*'Decision Table'!$B15)</f>
      </c>
      <c r="I15" s="13">
        <f>IF(ISBLANK('Decision Table'!J15),"",Utable!I15*'Decision Table'!$B15)</f>
      </c>
      <c r="J15" s="13">
        <f>IF(ISBLANK('Decision Table'!K15),"",Utable!J15*'Decision Table'!$B15)</f>
      </c>
      <c r="K15" s="13">
        <f>IF(ISBLANK('Decision Table'!L15),"",Utable!K15*'Decision Table'!$B15)</f>
      </c>
      <c r="L15" s="13">
        <f>IF(ISBLANK('Decision Table'!M15),"",Utable!L15*'Decision Table'!$B15)</f>
      </c>
      <c r="M15" s="13">
        <f>IF(ISBLANK('Decision Table'!N15),"",Utable!M15*'Decision Table'!$B15)</f>
      </c>
      <c r="N15" s="14">
        <f>IF(ISBLANK('Decision Table'!O15),"",Utable!N15*'Decision Table'!$B15)</f>
      </c>
    </row>
    <row r="16" spans="4:14" ht="12.75">
      <c r="D16" s="16">
        <f>IF(ISBLANK('Decision Table'!C16),"",'Decision Table'!C16)</f>
      </c>
      <c r="E16" s="11">
        <f>IF(ISBLANK('Decision Table'!F16),"",Utable!E16*'Decision Table'!$B16)</f>
      </c>
      <c r="F16" s="11">
        <f>IF(ISBLANK('Decision Table'!G16),"",Utable!F16*'Decision Table'!$B16)</f>
      </c>
      <c r="G16" s="11">
        <f>IF(ISBLANK('Decision Table'!H16),"",Utable!G16*'Decision Table'!$B16)</f>
      </c>
      <c r="H16" s="11">
        <f>IF(ISBLANK('Decision Table'!I16),"",Utable!H16*'Decision Table'!$B16)</f>
      </c>
      <c r="I16" s="11">
        <f>IF(ISBLANK('Decision Table'!J16),"",Utable!I16*'Decision Table'!$B16)</f>
      </c>
      <c r="J16" s="11">
        <f>IF(ISBLANK('Decision Table'!K16),"",Utable!J16*'Decision Table'!$B16)</f>
      </c>
      <c r="K16" s="11">
        <f>IF(ISBLANK('Decision Table'!L16),"",Utable!K16*'Decision Table'!$B16)</f>
      </c>
      <c r="L16" s="11">
        <f>IF(ISBLANK('Decision Table'!M16),"",Utable!L16*'Decision Table'!$B16)</f>
      </c>
      <c r="M16" s="11">
        <f>IF(ISBLANK('Decision Table'!N16),"",Utable!M16*'Decision Table'!$B16)</f>
      </c>
      <c r="N16" s="11">
        <f>IF(ISBLANK('Decision Table'!O16),"",Utable!N16*'Decision Table'!$B16)</f>
      </c>
    </row>
    <row r="17" spans="4:14" ht="12.75">
      <c r="D17" s="16">
        <f>IF(ISBLANK('Decision Table'!C17),"",'Decision Table'!C17)</f>
      </c>
      <c r="E17" s="12">
        <f>IF(ISBLANK('Decision Table'!F17),"",Utable!E17*'Decision Table'!$B17)</f>
      </c>
      <c r="F17" s="13">
        <f>IF(ISBLANK('Decision Table'!G17),"",Utable!F17*'Decision Table'!$B17)</f>
      </c>
      <c r="G17" s="13">
        <f>IF(ISBLANK('Decision Table'!H17),"",Utable!G17*'Decision Table'!$B17)</f>
      </c>
      <c r="H17" s="13">
        <f>IF(ISBLANK('Decision Table'!I17),"",Utable!H17*'Decision Table'!$B17)</f>
      </c>
      <c r="I17" s="13">
        <f>IF(ISBLANK('Decision Table'!J17),"",Utable!I17*'Decision Table'!$B17)</f>
      </c>
      <c r="J17" s="13">
        <f>IF(ISBLANK('Decision Table'!K17),"",Utable!J17*'Decision Table'!$B17)</f>
      </c>
      <c r="K17" s="13">
        <f>IF(ISBLANK('Decision Table'!L17),"",Utable!K17*'Decision Table'!$B17)</f>
      </c>
      <c r="L17" s="13">
        <f>IF(ISBLANK('Decision Table'!M17),"",Utable!L17*'Decision Table'!$B17)</f>
      </c>
      <c r="M17" s="13">
        <f>IF(ISBLANK('Decision Table'!N17),"",Utable!M17*'Decision Table'!$B17)</f>
      </c>
      <c r="N17" s="14">
        <f>IF(ISBLANK('Decision Table'!O17),"",Utable!N17*'Decision Table'!$B17)</f>
      </c>
    </row>
    <row r="18" spans="4:14" ht="12.75">
      <c r="D18" s="16">
        <f>IF(ISBLANK('Decision Table'!C18),"",'Decision Table'!C18)</f>
      </c>
      <c r="E18" s="11">
        <f>IF(ISBLANK('Decision Table'!F18),"",Utable!E18*'Decision Table'!$B18)</f>
      </c>
      <c r="F18" s="11">
        <f>IF(ISBLANK('Decision Table'!G18),"",Utable!F18*'Decision Table'!$B18)</f>
      </c>
      <c r="G18" s="11">
        <f>IF(ISBLANK('Decision Table'!H18),"",Utable!G18*'Decision Table'!$B18)</f>
      </c>
      <c r="H18" s="11">
        <f>IF(ISBLANK('Decision Table'!I18),"",Utable!H18*'Decision Table'!$B18)</f>
      </c>
      <c r="I18" s="11">
        <f>IF(ISBLANK('Decision Table'!J18),"",Utable!I18*'Decision Table'!$B18)</f>
      </c>
      <c r="J18" s="11">
        <f>IF(ISBLANK('Decision Table'!K18),"",Utable!J18*'Decision Table'!$B18)</f>
      </c>
      <c r="K18" s="11">
        <f>IF(ISBLANK('Decision Table'!L18),"",Utable!K18*'Decision Table'!$B18)</f>
      </c>
      <c r="L18" s="11">
        <f>IF(ISBLANK('Decision Table'!M18),"",Utable!L18*'Decision Table'!$B18)</f>
      </c>
      <c r="M18" s="11">
        <f>IF(ISBLANK('Decision Table'!N18),"",Utable!M18*'Decision Table'!$B18)</f>
      </c>
      <c r="N18" s="11">
        <f>IF(ISBLANK('Decision Table'!O18),"",Utable!N18*'Decision Table'!$B18)</f>
      </c>
    </row>
    <row r="19" spans="4:14" ht="12.75">
      <c r="D19" s="16">
        <f>IF(ISBLANK('Decision Table'!C19),"",'Decision Table'!C19)</f>
      </c>
      <c r="E19" s="12">
        <f>IF(ISBLANK('Decision Table'!F19),"",Utable!E19*'Decision Table'!$B19)</f>
      </c>
      <c r="F19" s="13">
        <f>IF(ISBLANK('Decision Table'!G19),"",Utable!F19*'Decision Table'!$B19)</f>
      </c>
      <c r="G19" s="13">
        <f>IF(ISBLANK('Decision Table'!H19),"",Utable!G19*'Decision Table'!$B19)</f>
      </c>
      <c r="H19" s="13">
        <f>IF(ISBLANK('Decision Table'!I19),"",Utable!H19*'Decision Table'!$B19)</f>
      </c>
      <c r="I19" s="13">
        <f>IF(ISBLANK('Decision Table'!J19),"",Utable!I19*'Decision Table'!$B19)</f>
      </c>
      <c r="J19" s="13">
        <f>IF(ISBLANK('Decision Table'!K19),"",Utable!J19*'Decision Table'!$B19)</f>
      </c>
      <c r="K19" s="13">
        <f>IF(ISBLANK('Decision Table'!L19),"",Utable!K19*'Decision Table'!$B19)</f>
      </c>
      <c r="L19" s="13">
        <f>IF(ISBLANK('Decision Table'!M19),"",Utable!L19*'Decision Table'!$B19)</f>
      </c>
      <c r="M19" s="13">
        <f>IF(ISBLANK('Decision Table'!N19),"",Utable!M19*'Decision Table'!$B19)</f>
      </c>
      <c r="N19" s="14">
        <f>IF(ISBLANK('Decision Table'!O19),"",Utable!N19*'Decision Table'!$B19)</f>
      </c>
    </row>
    <row r="20" spans="4:14" ht="12.75">
      <c r="D20" s="16">
        <f>IF(ISBLANK('Decision Table'!C20),"",'Decision Table'!C20)</f>
      </c>
      <c r="E20" s="11">
        <f>IF(ISBLANK('Decision Table'!F20),"",Utable!E20*'Decision Table'!$B20)</f>
      </c>
      <c r="F20" s="11">
        <f>IF(ISBLANK('Decision Table'!G20),"",Utable!F20*'Decision Table'!$B20)</f>
      </c>
      <c r="G20" s="11">
        <f>IF(ISBLANK('Decision Table'!H20),"",Utable!G20*'Decision Table'!$B20)</f>
      </c>
      <c r="H20" s="11">
        <f>IF(ISBLANK('Decision Table'!I20),"",Utable!H20*'Decision Table'!$B20)</f>
      </c>
      <c r="I20" s="11">
        <f>IF(ISBLANK('Decision Table'!J20),"",Utable!I20*'Decision Table'!$B20)</f>
      </c>
      <c r="J20" s="11">
        <f>IF(ISBLANK('Decision Table'!K20),"",Utable!J20*'Decision Table'!$B20)</f>
      </c>
      <c r="K20" s="11">
        <f>IF(ISBLANK('Decision Table'!L20),"",Utable!K20*'Decision Table'!$B20)</f>
      </c>
      <c r="L20" s="11">
        <f>IF(ISBLANK('Decision Table'!M20),"",Utable!L20*'Decision Table'!$B20)</f>
      </c>
      <c r="M20" s="11">
        <f>IF(ISBLANK('Decision Table'!N20),"",Utable!M20*'Decision Table'!$B20)</f>
      </c>
      <c r="N20" s="11">
        <f>IF(ISBLANK('Decision Table'!O20),"",Utable!N20*'Decision Table'!$B20)</f>
      </c>
    </row>
    <row r="21" spans="4:14" ht="12.75">
      <c r="D21" s="16">
        <f>IF(ISBLANK('Decision Table'!C21),"",'Decision Table'!C21)</f>
      </c>
      <c r="E21" s="12">
        <f>IF(ISBLANK('Decision Table'!F21),"",Utable!E21*'Decision Table'!$B21)</f>
      </c>
      <c r="F21" s="13">
        <f>IF(ISBLANK('Decision Table'!G21),"",Utable!F21*'Decision Table'!$B21)</f>
      </c>
      <c r="G21" s="13">
        <f>IF(ISBLANK('Decision Table'!H21),"",Utable!G21*'Decision Table'!$B21)</f>
      </c>
      <c r="H21" s="13">
        <f>IF(ISBLANK('Decision Table'!I21),"",Utable!H21*'Decision Table'!$B21)</f>
      </c>
      <c r="I21" s="13">
        <f>IF(ISBLANK('Decision Table'!J21),"",Utable!I21*'Decision Table'!$B21)</f>
      </c>
      <c r="J21" s="13">
        <f>IF(ISBLANK('Decision Table'!K21),"",Utable!J21*'Decision Table'!$B21)</f>
      </c>
      <c r="K21" s="13">
        <f>IF(ISBLANK('Decision Table'!L21),"",Utable!K21*'Decision Table'!$B21)</f>
      </c>
      <c r="L21" s="13">
        <f>IF(ISBLANK('Decision Table'!M21),"",Utable!L21*'Decision Table'!$B21)</f>
      </c>
      <c r="M21" s="13">
        <f>IF(ISBLANK('Decision Table'!N21),"",Utable!M21*'Decision Table'!$B21)</f>
      </c>
      <c r="N21" s="14">
        <f>IF(ISBLANK('Decision Table'!O21),"",Utable!N21*'Decision Table'!$B21)</f>
      </c>
    </row>
    <row r="22" spans="4:14" ht="12.75">
      <c r="D22" s="16">
        <f>IF(ISBLANK('Decision Table'!C22),"",'Decision Table'!C22)</f>
      </c>
      <c r="E22" s="11">
        <f>IF(ISBLANK('Decision Table'!F22),"",Utable!E22*'Decision Table'!$B22)</f>
      </c>
      <c r="F22" s="11">
        <f>IF(ISBLANK('Decision Table'!G22),"",Utable!F22*'Decision Table'!$B22)</f>
      </c>
      <c r="G22" s="11">
        <f>IF(ISBLANK('Decision Table'!H22),"",Utable!G22*'Decision Table'!$B22)</f>
      </c>
      <c r="H22" s="11">
        <f>IF(ISBLANK('Decision Table'!I22),"",Utable!H22*'Decision Table'!$B22)</f>
      </c>
      <c r="I22" s="11">
        <f>IF(ISBLANK('Decision Table'!J22),"",Utable!I22*'Decision Table'!$B22)</f>
      </c>
      <c r="J22" s="11">
        <f>IF(ISBLANK('Decision Table'!K22),"",Utable!J22*'Decision Table'!$B22)</f>
      </c>
      <c r="K22" s="11">
        <f>IF(ISBLANK('Decision Table'!L22),"",Utable!K22*'Decision Table'!$B22)</f>
      </c>
      <c r="L22" s="11">
        <f>IF(ISBLANK('Decision Table'!M22),"",Utable!L22*'Decision Table'!$B22)</f>
      </c>
      <c r="M22" s="11">
        <f>IF(ISBLANK('Decision Table'!N22),"",Utable!M22*'Decision Table'!$B22)</f>
      </c>
      <c r="N22" s="11">
        <f>IF(ISBLANK('Decision Table'!O22),"",Utable!N22*'Decision Table'!$B22)</f>
      </c>
    </row>
    <row r="23" spans="4:14" ht="12.75">
      <c r="D23" s="16">
        <f>IF(ISBLANK('Decision Table'!C23),"",'Decision Table'!C23)</f>
      </c>
      <c r="E23" s="12">
        <f>IF(ISBLANK('Decision Table'!F23),"",Utable!E23*'Decision Table'!$B23)</f>
      </c>
      <c r="F23" s="13">
        <f>IF(ISBLANK('Decision Table'!G23),"",Utable!F23*'Decision Table'!$B23)</f>
      </c>
      <c r="G23" s="13">
        <f>IF(ISBLANK('Decision Table'!H23),"",Utable!G23*'Decision Table'!$B23)</f>
      </c>
      <c r="H23" s="13">
        <f>IF(ISBLANK('Decision Table'!I23),"",Utable!H23*'Decision Table'!$B23)</f>
      </c>
      <c r="I23" s="13">
        <f>IF(ISBLANK('Decision Table'!J23),"",Utable!I23*'Decision Table'!$B23)</f>
      </c>
      <c r="J23" s="13">
        <f>IF(ISBLANK('Decision Table'!K23),"",Utable!J23*'Decision Table'!$B23)</f>
      </c>
      <c r="K23" s="13">
        <f>IF(ISBLANK('Decision Table'!L23),"",Utable!K23*'Decision Table'!$B23)</f>
      </c>
      <c r="L23" s="13">
        <f>IF(ISBLANK('Decision Table'!M23),"",Utable!L23*'Decision Table'!$B23)</f>
      </c>
      <c r="M23" s="13">
        <f>IF(ISBLANK('Decision Table'!N23),"",Utable!M23*'Decision Table'!$B23)</f>
      </c>
      <c r="N23" s="14">
        <f>IF(ISBLANK('Decision Table'!O23),"",Utable!N23*'Decision Table'!$B23)</f>
      </c>
    </row>
    <row r="24" spans="4:14" ht="12.75">
      <c r="D24" s="16">
        <f>IF(ISBLANK('Decision Table'!C24),"",'Decision Table'!C24)</f>
      </c>
      <c r="E24" s="11">
        <f>IF(ISBLANK('Decision Table'!F24),"",Utable!E24*'Decision Table'!$B24)</f>
      </c>
      <c r="F24" s="11">
        <f>IF(ISBLANK('Decision Table'!G24),"",Utable!F24*'Decision Table'!$B24)</f>
      </c>
      <c r="G24" s="11">
        <f>IF(ISBLANK('Decision Table'!H24),"",Utable!G24*'Decision Table'!$B24)</f>
      </c>
      <c r="H24" s="11">
        <f>IF(ISBLANK('Decision Table'!I24),"",Utable!H24*'Decision Table'!$B24)</f>
      </c>
      <c r="I24" s="11">
        <f>IF(ISBLANK('Decision Table'!J24),"",Utable!I24*'Decision Table'!$B24)</f>
      </c>
      <c r="J24" s="11">
        <f>IF(ISBLANK('Decision Table'!K24),"",Utable!J24*'Decision Table'!$B24)</f>
      </c>
      <c r="K24" s="11">
        <f>IF(ISBLANK('Decision Table'!L24),"",Utable!K24*'Decision Table'!$B24)</f>
      </c>
      <c r="L24" s="11">
        <f>IF(ISBLANK('Decision Table'!M24),"",Utable!L24*'Decision Table'!$B24)</f>
      </c>
      <c r="M24" s="11">
        <f>IF(ISBLANK('Decision Table'!N24),"",Utable!M24*'Decision Table'!$B24)</f>
      </c>
      <c r="N24" s="11">
        <f>IF(ISBLANK('Decision Table'!O24),"",Utable!N24*'Decision Table'!$B24)</f>
      </c>
    </row>
    <row r="25" spans="4:14" ht="12.75">
      <c r="D25" s="16">
        <f>IF(ISBLANK('Decision Table'!C25),"",'Decision Table'!C25)</f>
      </c>
      <c r="E25" s="12">
        <f>IF(ISBLANK('Decision Table'!F25),"",Utable!E25*'Decision Table'!$B25)</f>
      </c>
      <c r="F25" s="13">
        <f>IF(ISBLANK('Decision Table'!G25),"",Utable!F25*'Decision Table'!$B25)</f>
      </c>
      <c r="G25" s="13">
        <f>IF(ISBLANK('Decision Table'!H25),"",Utable!G25*'Decision Table'!$B25)</f>
      </c>
      <c r="H25" s="13">
        <f>IF(ISBLANK('Decision Table'!I25),"",Utable!H25*'Decision Table'!$B25)</f>
      </c>
      <c r="I25" s="13">
        <f>IF(ISBLANK('Decision Table'!J25),"",Utable!I25*'Decision Table'!$B25)</f>
      </c>
      <c r="J25" s="13">
        <f>IF(ISBLANK('Decision Table'!K25),"",Utable!J25*'Decision Table'!$B25)</f>
      </c>
      <c r="K25" s="13">
        <f>IF(ISBLANK('Decision Table'!L25),"",Utable!K25*'Decision Table'!$B25)</f>
      </c>
      <c r="L25" s="13">
        <f>IF(ISBLANK('Decision Table'!M25),"",Utable!L25*'Decision Table'!$B25)</f>
      </c>
      <c r="M25" s="13">
        <f>IF(ISBLANK('Decision Table'!N25),"",Utable!M25*'Decision Table'!$B25)</f>
      </c>
      <c r="N25" s="14">
        <f>IF(ISBLANK('Decision Table'!O25),"",Utable!N25*'Decision Table'!$B25)</f>
      </c>
    </row>
    <row r="26" spans="4:14" ht="12.75">
      <c r="D26" s="17" t="s">
        <v>24</v>
      </c>
      <c r="E26" s="11">
        <f aca="true" t="shared" si="0" ref="E26:N26">SUM(E11:E25)</f>
        <v>0.6649400664808783</v>
      </c>
      <c r="F26" s="11">
        <f t="shared" si="0"/>
        <v>0.6098949064902797</v>
      </c>
      <c r="G26" s="11">
        <f t="shared" si="0"/>
        <v>0.5132387603666521</v>
      </c>
      <c r="H26" s="11">
        <f t="shared" si="0"/>
        <v>0.6698378269482592</v>
      </c>
      <c r="I26" s="11">
        <f t="shared" si="0"/>
        <v>0</v>
      </c>
      <c r="J26" s="11">
        <f t="shared" si="0"/>
        <v>1</v>
      </c>
      <c r="K26" s="11">
        <f t="shared" si="0"/>
        <v>0</v>
      </c>
      <c r="L26" s="11">
        <f t="shared" si="0"/>
        <v>0</v>
      </c>
      <c r="M26" s="11">
        <f t="shared" si="0"/>
        <v>0</v>
      </c>
      <c r="N26" s="11">
        <f t="shared" si="0"/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1997-10-31T15:17:23Z</dcterms:created>
  <dcterms:modified xsi:type="dcterms:W3CDTF">2000-12-11T12:37:25Z</dcterms:modified>
  <cp:category/>
  <cp:version/>
  <cp:contentType/>
  <cp:contentStatus/>
</cp:coreProperties>
</file>